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dotazy\P01 Soupisy stavebnich praci\P01 Soupisy stavebnich praci\"/>
    </mc:Choice>
  </mc:AlternateContent>
  <xr:revisionPtr revIDLastSave="0" documentId="13_ncr:1_{89DF71DF-7766-4703-96D8-2F072EE1DE25}" xr6:coauthVersionLast="36" xr6:coauthVersionMax="47" xr10:uidLastSave="{00000000-0000-0000-0000-000000000000}"/>
  <bookViews>
    <workbookView xWindow="0" yWindow="0" windowWidth="21570" windowHeight="9855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BJ50" i="4" l="1"/>
  <c r="BF50" i="4"/>
  <c r="BD50" i="4"/>
  <c r="AP50" i="4"/>
  <c r="BI50" i="4" s="1"/>
  <c r="AO50" i="4"/>
  <c r="AW50" i="4" s="1"/>
  <c r="AK50" i="4"/>
  <c r="AJ50" i="4"/>
  <c r="AH50" i="4"/>
  <c r="AG50" i="4"/>
  <c r="AF50" i="4"/>
  <c r="AE50" i="4"/>
  <c r="AD50" i="4"/>
  <c r="AC50" i="4"/>
  <c r="AB50" i="4"/>
  <c r="Z50" i="4"/>
  <c r="I50" i="4"/>
  <c r="AL50" i="4" s="1"/>
  <c r="BJ49" i="4"/>
  <c r="Z49" i="4" s="1"/>
  <c r="BF49" i="4"/>
  <c r="BD49" i="4"/>
  <c r="AP49" i="4"/>
  <c r="BI49" i="4" s="1"/>
  <c r="AO49" i="4"/>
  <c r="BH49" i="4" s="1"/>
  <c r="AK49" i="4"/>
  <c r="AJ49" i="4"/>
  <c r="AH49" i="4"/>
  <c r="AG49" i="4"/>
  <c r="AF49" i="4"/>
  <c r="AE49" i="4"/>
  <c r="AD49" i="4"/>
  <c r="AC49" i="4"/>
  <c r="AB49" i="4"/>
  <c r="I49" i="4"/>
  <c r="AL49" i="4" s="1"/>
  <c r="BJ47" i="4"/>
  <c r="BF47" i="4"/>
  <c r="BD47" i="4"/>
  <c r="AP47" i="4"/>
  <c r="BI47" i="4" s="1"/>
  <c r="AO47" i="4"/>
  <c r="BH47" i="4" s="1"/>
  <c r="AK47" i="4"/>
  <c r="AJ47" i="4"/>
  <c r="AH47" i="4"/>
  <c r="AG47" i="4"/>
  <c r="AF47" i="4"/>
  <c r="AE47" i="4"/>
  <c r="AD47" i="4"/>
  <c r="AC47" i="4"/>
  <c r="AB47" i="4"/>
  <c r="Z47" i="4"/>
  <c r="I47" i="4"/>
  <c r="AL47" i="4" s="1"/>
  <c r="BJ44" i="4"/>
  <c r="BF44" i="4"/>
  <c r="BD44" i="4"/>
  <c r="AP44" i="4"/>
  <c r="AX44" i="4" s="1"/>
  <c r="AO44" i="4"/>
  <c r="BH44" i="4" s="1"/>
  <c r="AK44" i="4"/>
  <c r="AJ44" i="4"/>
  <c r="AH44" i="4"/>
  <c r="AG44" i="4"/>
  <c r="AF44" i="4"/>
  <c r="AE44" i="4"/>
  <c r="AD44" i="4"/>
  <c r="AC44" i="4"/>
  <c r="AB44" i="4"/>
  <c r="Z44" i="4"/>
  <c r="I44" i="4"/>
  <c r="AL44" i="4" s="1"/>
  <c r="BJ42" i="4"/>
  <c r="Z42" i="4" s="1"/>
  <c r="BF42" i="4"/>
  <c r="BD42" i="4"/>
  <c r="AP42" i="4"/>
  <c r="BI42" i="4" s="1"/>
  <c r="AO42" i="4"/>
  <c r="AW42" i="4" s="1"/>
  <c r="AK42" i="4"/>
  <c r="AJ42" i="4"/>
  <c r="AH42" i="4"/>
  <c r="AG42" i="4"/>
  <c r="AF42" i="4"/>
  <c r="AE42" i="4"/>
  <c r="AD42" i="4"/>
  <c r="AC42" i="4"/>
  <c r="AB42" i="4"/>
  <c r="I42" i="4"/>
  <c r="AL42" i="4" s="1"/>
  <c r="BJ40" i="4"/>
  <c r="BF40" i="4"/>
  <c r="BD40" i="4"/>
  <c r="AP40" i="4"/>
  <c r="BI40" i="4" s="1"/>
  <c r="AC40" i="4" s="1"/>
  <c r="AO40" i="4"/>
  <c r="BH40" i="4" s="1"/>
  <c r="AB40" i="4" s="1"/>
  <c r="AK40" i="4"/>
  <c r="AJ40" i="4"/>
  <c r="AH40" i="4"/>
  <c r="AG40" i="4"/>
  <c r="AF40" i="4"/>
  <c r="AE40" i="4"/>
  <c r="AD40" i="4"/>
  <c r="Z40" i="4"/>
  <c r="I40" i="4"/>
  <c r="AL40" i="4" s="1"/>
  <c r="AT39" i="4"/>
  <c r="BJ38" i="4"/>
  <c r="BF38" i="4"/>
  <c r="BD38" i="4"/>
  <c r="AP38" i="4"/>
  <c r="BI38" i="4" s="1"/>
  <c r="AC38" i="4" s="1"/>
  <c r="AO38" i="4"/>
  <c r="BH38" i="4" s="1"/>
  <c r="AB38" i="4" s="1"/>
  <c r="AK38" i="4"/>
  <c r="AT37" i="4" s="1"/>
  <c r="AJ38" i="4"/>
  <c r="AS37" i="4" s="1"/>
  <c r="AH38" i="4"/>
  <c r="AG38" i="4"/>
  <c r="AF38" i="4"/>
  <c r="AE38" i="4"/>
  <c r="AD38" i="4"/>
  <c r="Z38" i="4"/>
  <c r="I38" i="4"/>
  <c r="I37" i="4" s="1"/>
  <c r="G16" i="1" s="1"/>
  <c r="I16" i="1" s="1"/>
  <c r="BJ35" i="4"/>
  <c r="BF35" i="4"/>
  <c r="BD35" i="4"/>
  <c r="AP35" i="4"/>
  <c r="AX35" i="4" s="1"/>
  <c r="AO35" i="4"/>
  <c r="BH35" i="4" s="1"/>
  <c r="AB35" i="4" s="1"/>
  <c r="AK35" i="4"/>
  <c r="AT34" i="4" s="1"/>
  <c r="AJ35" i="4"/>
  <c r="AH35" i="4"/>
  <c r="AG35" i="4"/>
  <c r="AF35" i="4"/>
  <c r="AE35" i="4"/>
  <c r="AD35" i="4"/>
  <c r="Z35" i="4"/>
  <c r="I35" i="4"/>
  <c r="AL35" i="4" s="1"/>
  <c r="AU34" i="4" s="1"/>
  <c r="AS34" i="4"/>
  <c r="BJ32" i="4"/>
  <c r="BF32" i="4"/>
  <c r="BD32" i="4"/>
  <c r="AP32" i="4"/>
  <c r="BI32" i="4" s="1"/>
  <c r="AC32" i="4" s="1"/>
  <c r="AO32" i="4"/>
  <c r="AW32" i="4" s="1"/>
  <c r="AK32" i="4"/>
  <c r="AJ32" i="4"/>
  <c r="AH32" i="4"/>
  <c r="AG32" i="4"/>
  <c r="AF32" i="4"/>
  <c r="AE32" i="4"/>
  <c r="AD32" i="4"/>
  <c r="Z32" i="4"/>
  <c r="I32" i="4"/>
  <c r="AL32" i="4" s="1"/>
  <c r="BJ31" i="4"/>
  <c r="BF31" i="4"/>
  <c r="BD31" i="4"/>
  <c r="AP31" i="4"/>
  <c r="BI31" i="4" s="1"/>
  <c r="AC31" i="4" s="1"/>
  <c r="AO31" i="4"/>
  <c r="BH31" i="4" s="1"/>
  <c r="AB31" i="4" s="1"/>
  <c r="AK31" i="4"/>
  <c r="AJ31" i="4"/>
  <c r="AS29" i="4" s="1"/>
  <c r="AH31" i="4"/>
  <c r="AG31" i="4"/>
  <c r="AF31" i="4"/>
  <c r="AE31" i="4"/>
  <c r="AD31" i="4"/>
  <c r="Z31" i="4"/>
  <c r="I31" i="4"/>
  <c r="BJ30" i="4"/>
  <c r="BF30" i="4"/>
  <c r="BD30" i="4"/>
  <c r="AP30" i="4"/>
  <c r="BI30" i="4" s="1"/>
  <c r="AC30" i="4" s="1"/>
  <c r="AO30" i="4"/>
  <c r="BH30" i="4" s="1"/>
  <c r="AB30" i="4" s="1"/>
  <c r="AK30" i="4"/>
  <c r="AJ30" i="4"/>
  <c r="AH30" i="4"/>
  <c r="AG30" i="4"/>
  <c r="AF30" i="4"/>
  <c r="AE30" i="4"/>
  <c r="AD30" i="4"/>
  <c r="Z30" i="4"/>
  <c r="I30" i="4"/>
  <c r="AL30" i="4" s="1"/>
  <c r="BJ28" i="4"/>
  <c r="BF28" i="4"/>
  <c r="BD28" i="4"/>
  <c r="AP28" i="4"/>
  <c r="AX28" i="4" s="1"/>
  <c r="AO28" i="4"/>
  <c r="BH28" i="4" s="1"/>
  <c r="AB28" i="4" s="1"/>
  <c r="AK28" i="4"/>
  <c r="AT27" i="4" s="1"/>
  <c r="AJ28" i="4"/>
  <c r="AH28" i="4"/>
  <c r="AG28" i="4"/>
  <c r="AF28" i="4"/>
  <c r="AE28" i="4"/>
  <c r="AD28" i="4"/>
  <c r="Z28" i="4"/>
  <c r="I28" i="4"/>
  <c r="AL28" i="4" s="1"/>
  <c r="AU27" i="4" s="1"/>
  <c r="AS27" i="4"/>
  <c r="BJ25" i="4"/>
  <c r="BF25" i="4"/>
  <c r="BD25" i="4"/>
  <c r="AP25" i="4"/>
  <c r="BI25" i="4" s="1"/>
  <c r="AC25" i="4" s="1"/>
  <c r="AO25" i="4"/>
  <c r="AW25" i="4" s="1"/>
  <c r="AK25" i="4"/>
  <c r="AJ25" i="4"/>
  <c r="AH25" i="4"/>
  <c r="AG25" i="4"/>
  <c r="AF25" i="4"/>
  <c r="AE25" i="4"/>
  <c r="AD25" i="4"/>
  <c r="Z25" i="4"/>
  <c r="I25" i="4"/>
  <c r="AL25" i="4" s="1"/>
  <c r="BJ23" i="4"/>
  <c r="BF23" i="4"/>
  <c r="BD23" i="4"/>
  <c r="AP23" i="4"/>
  <c r="BI23" i="4" s="1"/>
  <c r="AC23" i="4" s="1"/>
  <c r="AO23" i="4"/>
  <c r="BH23" i="4" s="1"/>
  <c r="AB23" i="4" s="1"/>
  <c r="AK23" i="4"/>
  <c r="AJ23" i="4"/>
  <c r="AH23" i="4"/>
  <c r="AG23" i="4"/>
  <c r="AF23" i="4"/>
  <c r="AE23" i="4"/>
  <c r="AD23" i="4"/>
  <c r="Z23" i="4"/>
  <c r="I23" i="4"/>
  <c r="BJ19" i="4"/>
  <c r="BF19" i="4"/>
  <c r="BD19" i="4"/>
  <c r="AP19" i="4"/>
  <c r="BI19" i="4" s="1"/>
  <c r="AC19" i="4" s="1"/>
  <c r="AO19" i="4"/>
  <c r="BH19" i="4" s="1"/>
  <c r="AB19" i="4" s="1"/>
  <c r="AK19" i="4"/>
  <c r="AJ19" i="4"/>
  <c r="AH19" i="4"/>
  <c r="AG19" i="4"/>
  <c r="AF19" i="4"/>
  <c r="AE19" i="4"/>
  <c r="AD19" i="4"/>
  <c r="Z19" i="4"/>
  <c r="I19" i="4"/>
  <c r="AL19" i="4" s="1"/>
  <c r="BJ17" i="4"/>
  <c r="BF17" i="4"/>
  <c r="BD17" i="4"/>
  <c r="AP17" i="4"/>
  <c r="AX17" i="4" s="1"/>
  <c r="AO17" i="4"/>
  <c r="BH17" i="4" s="1"/>
  <c r="AB17" i="4" s="1"/>
  <c r="AK17" i="4"/>
  <c r="AJ17" i="4"/>
  <c r="AH17" i="4"/>
  <c r="AG17" i="4"/>
  <c r="AF17" i="4"/>
  <c r="AE17" i="4"/>
  <c r="AD17" i="4"/>
  <c r="Z17" i="4"/>
  <c r="I17" i="4"/>
  <c r="AL17" i="4" s="1"/>
  <c r="BJ16" i="4"/>
  <c r="BF16" i="4"/>
  <c r="BD16" i="4"/>
  <c r="AP16" i="4"/>
  <c r="BI16" i="4" s="1"/>
  <c r="AC16" i="4" s="1"/>
  <c r="AO16" i="4"/>
  <c r="AW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BH15" i="4" s="1"/>
  <c r="AB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AE14" i="4"/>
  <c r="AD14" i="4"/>
  <c r="Z14" i="4"/>
  <c r="I14" i="4"/>
  <c r="AL14" i="4" s="1"/>
  <c r="BJ13" i="4"/>
  <c r="BF13" i="4"/>
  <c r="BD13" i="4"/>
  <c r="AP13" i="4"/>
  <c r="BI13" i="4" s="1"/>
  <c r="AC13" i="4" s="1"/>
  <c r="AO13" i="4"/>
  <c r="BH13" i="4" s="1"/>
  <c r="AB13" i="4" s="1"/>
  <c r="AK13" i="4"/>
  <c r="AJ13" i="4"/>
  <c r="AH13" i="4"/>
  <c r="AG13" i="4"/>
  <c r="AF13" i="4"/>
  <c r="C18" i="2" s="1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25" i="3"/>
  <c r="I24" i="3"/>
  <c r="I17" i="2" s="1"/>
  <c r="I23" i="3"/>
  <c r="I16" i="2" s="1"/>
  <c r="I22" i="3"/>
  <c r="I21" i="3"/>
  <c r="I14" i="2" s="1"/>
  <c r="I17" i="3"/>
  <c r="F16" i="2" s="1"/>
  <c r="I16" i="3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I19" i="2"/>
  <c r="I18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AT43" i="4" l="1"/>
  <c r="C16" i="2"/>
  <c r="I18" i="3"/>
  <c r="AU43" i="4"/>
  <c r="F15" i="2"/>
  <c r="F22" i="2" s="1"/>
  <c r="AS18" i="4"/>
  <c r="AS39" i="4"/>
  <c r="C27" i="2"/>
  <c r="AS43" i="4"/>
  <c r="I18" i="4"/>
  <c r="G12" i="1" s="1"/>
  <c r="I12" i="1" s="1"/>
  <c r="AT18" i="4"/>
  <c r="C19" i="2"/>
  <c r="C21" i="2"/>
  <c r="C17" i="2"/>
  <c r="C28" i="2"/>
  <c r="F28" i="2" s="1"/>
  <c r="I39" i="4"/>
  <c r="G17" i="1" s="1"/>
  <c r="I17" i="1" s="1"/>
  <c r="C20" i="2"/>
  <c r="AX15" i="4"/>
  <c r="AX40" i="4"/>
  <c r="AT29" i="4"/>
  <c r="I43" i="4"/>
  <c r="G18" i="1" s="1"/>
  <c r="I18" i="1" s="1"/>
  <c r="I22" i="2"/>
  <c r="AS12" i="4"/>
  <c r="AX23" i="4"/>
  <c r="AW19" i="4"/>
  <c r="AX13" i="4"/>
  <c r="AW14" i="4"/>
  <c r="I29" i="4"/>
  <c r="G14" i="1" s="1"/>
  <c r="I14" i="1" s="1"/>
  <c r="I12" i="4"/>
  <c r="AT12" i="4"/>
  <c r="AX31" i="4"/>
  <c r="AL38" i="4"/>
  <c r="AU37" i="4" s="1"/>
  <c r="AW30" i="4"/>
  <c r="I27" i="4"/>
  <c r="G13" i="1" s="1"/>
  <c r="I13" i="1" s="1"/>
  <c r="I34" i="4"/>
  <c r="G15" i="1" s="1"/>
  <c r="I15" i="1" s="1"/>
  <c r="I27" i="3"/>
  <c r="F29" i="3" s="1"/>
  <c r="I15" i="2"/>
  <c r="AW38" i="4"/>
  <c r="AU12" i="4"/>
  <c r="AU39" i="4"/>
  <c r="AW15" i="4"/>
  <c r="AX16" i="4"/>
  <c r="AV16" i="4" s="1"/>
  <c r="BH16" i="4"/>
  <c r="AB16" i="4" s="1"/>
  <c r="BI17" i="4"/>
  <c r="AC17" i="4" s="1"/>
  <c r="AL23" i="4"/>
  <c r="AU18" i="4" s="1"/>
  <c r="AW23" i="4"/>
  <c r="AX25" i="4"/>
  <c r="AV25" i="4" s="1"/>
  <c r="BH25" i="4"/>
  <c r="AB25" i="4" s="1"/>
  <c r="BI28" i="4"/>
  <c r="AC28" i="4" s="1"/>
  <c r="AL31" i="4"/>
  <c r="AU29" i="4" s="1"/>
  <c r="AW31" i="4"/>
  <c r="AX32" i="4"/>
  <c r="AV32" i="4" s="1"/>
  <c r="BH32" i="4"/>
  <c r="AB32" i="4" s="1"/>
  <c r="BI35" i="4"/>
  <c r="AC35" i="4" s="1"/>
  <c r="AW40" i="4"/>
  <c r="AX42" i="4"/>
  <c r="AV42" i="4" s="1"/>
  <c r="BH42" i="4"/>
  <c r="BI44" i="4"/>
  <c r="AW49" i="4"/>
  <c r="AX50" i="4"/>
  <c r="BC50" i="4" s="1"/>
  <c r="BH50" i="4"/>
  <c r="AW47" i="4"/>
  <c r="AX49" i="4"/>
  <c r="AW13" i="4"/>
  <c r="AX14" i="4"/>
  <c r="AV14" i="4" s="1"/>
  <c r="AW17" i="4"/>
  <c r="AX19" i="4"/>
  <c r="AW28" i="4"/>
  <c r="AX30" i="4"/>
  <c r="AW35" i="4"/>
  <c r="AX38" i="4"/>
  <c r="AW44" i="4"/>
  <c r="AX47" i="4"/>
  <c r="BC30" i="4" l="1"/>
  <c r="C15" i="2"/>
  <c r="BC19" i="4"/>
  <c r="I51" i="4"/>
  <c r="G11" i="1"/>
  <c r="I11" i="1" s="1"/>
  <c r="G19" i="1" s="1"/>
  <c r="C14" i="2"/>
  <c r="C22" i="2" s="1"/>
  <c r="BC38" i="4"/>
  <c r="AV49" i="4"/>
  <c r="BC49" i="4"/>
  <c r="AV40" i="4"/>
  <c r="BC40" i="4"/>
  <c r="AV50" i="4"/>
  <c r="BC14" i="4"/>
  <c r="C29" i="2"/>
  <c r="BC25" i="4"/>
  <c r="BC42" i="4"/>
  <c r="AV17" i="4"/>
  <c r="BC17" i="4"/>
  <c r="BC47" i="4"/>
  <c r="AV47" i="4"/>
  <c r="AV38" i="4"/>
  <c r="AV31" i="4"/>
  <c r="BC31" i="4"/>
  <c r="AV19" i="4"/>
  <c r="AV15" i="4"/>
  <c r="BC15" i="4"/>
  <c r="BC32" i="4"/>
  <c r="BC16" i="4"/>
  <c r="AV35" i="4"/>
  <c r="BC35" i="4"/>
  <c r="AV44" i="4"/>
  <c r="BC44" i="4"/>
  <c r="AV28" i="4"/>
  <c r="BC28" i="4"/>
  <c r="AV13" i="4"/>
  <c r="BC13" i="4"/>
  <c r="AV30" i="4"/>
  <c r="AV23" i="4"/>
  <c r="BC23" i="4"/>
  <c r="F29" i="2" l="1"/>
  <c r="I28" i="2"/>
  <c r="I29" i="2" s="1"/>
</calcChain>
</file>

<file path=xl/sharedStrings.xml><?xml version="1.0" encoding="utf-8"?>
<sst xmlns="http://schemas.openxmlformats.org/spreadsheetml/2006/main" count="591" uniqueCount="213">
  <si>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</si>
  <si>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</si>
  <si>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</si>
  <si>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</si>
  <si>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</si>
  <si>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</si>
  <si>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</si>
  <si>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23.08.2024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</si>
  <si>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</si>
  <si>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</si>
  <si>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</si>
  <si>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</si>
  <si>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</si>
  <si>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</si>
  <si>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</si>
  <si>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</si>
  <si>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</si>
  <si>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</si>
  <si>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</si>
  <si>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</si>
  <si>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</si>
  <si>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</si>
  <si>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11</t>
  </si>
  <si>
    <t>Přípravné a přidružené práce</t>
  </si>
  <si>
    <t>18</t>
  </si>
  <si>
    <t>Povrchové úpravy terénu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</si>
  <si>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</si>
  <si>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</si>
  <si>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</si>
  <si>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</si>
  <si>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</si>
  <si>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</si>
  <si>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</si>
  <si>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</si>
  <si>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</si>
  <si>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</si>
  <si>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</si>
  <si>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</si>
  <si>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</si>
  <si>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</si>
  <si>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</si>
  <si>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</si>
  <si>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</si>
  <si>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</si>
  <si>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</si>
  <si>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</si>
  <si>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</si>
  <si>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</si>
  <si>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</si>
  <si>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</si>
  <si>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</si>
  <si>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</si>
  <si>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</si>
  <si>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</si>
  <si>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</si>
  <si>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</si>
  <si>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</si>
  <si>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</si>
  <si>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</si>
  <si>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</si>
  <si>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</si>
  <si>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</si>
  <si>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</si>
  <si>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</si>
  <si>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</si>
  <si>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</si>
  <si>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</si>
  <si>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</si>
  <si>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</si>
  <si>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</si>
  <si>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</si>
  <si>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</si>
  <si>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</si>
  <si>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</si>
  <si>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</si>
  <si>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</si>
  <si>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</si>
  <si>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</si>
  <si>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</si>
  <si>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</si>
  <si>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</si>
  <si>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</si>
  <si>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</si>
  <si>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</si>
  <si>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</si>
  <si>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</si>
  <si>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</si>
  <si>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</si>
  <si>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</si>
  <si>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</si>
  <si>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</si>
  <si>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</si>
  <si>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</si>
  <si>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</si>
  <si>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</si>
  <si>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</si>
  <si>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</si>
  <si>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</si>
  <si>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</si>
  <si>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</si>
  <si>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</si>
  <si>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</si>
  <si>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</si>
  <si>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</si>
  <si>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</si>
  <si>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</si>
  <si>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</si>
  <si>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</si>
  <si>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</si>
  <si>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</si>
  <si>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</si>
  <si>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</si>
  <si>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</si>
  <si>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</si>
  <si>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</si>
  <si>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</si>
  <si>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</si>
  <si>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</si>
  <si>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</si>
  <si>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</si>
  <si>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</si>
  <si>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</si>
  <si>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</si>
  <si>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</si>
  <si>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</si>
  <si>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</si>
  <si>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</si>
  <si>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</si>
  <si>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</si>
  <si>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</si>
  <si>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</si>
  <si>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</si>
  <si>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</si>
  <si>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</si>
  <si>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</si>
  <si>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</si>
  <si>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</si>
  <si>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</si>
  <si>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00126111VD</t>
  </si>
  <si>
    <t>6</t>
  </si>
  <si>
    <t>113151114R00</t>
  </si>
  <si>
    <t>Fréz.živič.krytu pl.do 500 m2,pruh do 75 cm,tl.5cm</t>
  </si>
  <si>
    <t>m2</t>
  </si>
  <si>
    <t>11_</t>
  </si>
  <si>
    <t>1_</t>
  </si>
  <si>
    <t>65,0*5,5</t>
  </si>
  <si>
    <t>3,0*3,0/2*2</t>
  </si>
  <si>
    <t>2,0*2,5/2*2</t>
  </si>
  <si>
    <t>7</t>
  </si>
  <si>
    <t>113204111R00</t>
  </si>
  <si>
    <t>Vytrhání obrubníků zahradních</t>
  </si>
  <si>
    <t>m</t>
  </si>
  <si>
    <t>3,2+0,5+0,5</t>
  </si>
  <si>
    <t>8</t>
  </si>
  <si>
    <t>113106121R00</t>
  </si>
  <si>
    <t>Rozebrání dlažeb z betonových dlaždic na sucho</t>
  </si>
  <si>
    <t>3,2*0,5</t>
  </si>
  <si>
    <t>9</t>
  </si>
  <si>
    <t>181101102R00</t>
  </si>
  <si>
    <t>Úprava pláně v zářezech v hor. 1-4, se zhutněním</t>
  </si>
  <si>
    <t>18_</t>
  </si>
  <si>
    <t>10</t>
  </si>
  <si>
    <t>573231125R00</t>
  </si>
  <si>
    <t>Postřik spojovací z KAE, množství zbytkového asfaltu 0,5 kg/m2</t>
  </si>
  <si>
    <t>57_</t>
  </si>
  <si>
    <t>5_</t>
  </si>
  <si>
    <t>577131211R00</t>
  </si>
  <si>
    <t>Beton asfalt. ACO 8,nebo ACO 11, do 3 m, tl. 4 cm</t>
  </si>
  <si>
    <t>12</t>
  </si>
  <si>
    <t>572713112R00</t>
  </si>
  <si>
    <t>Vyrovnání povrchu krytů kamen. obaleným asfaltem</t>
  </si>
  <si>
    <t>t</t>
  </si>
  <si>
    <t>371,50*0,03*2,5</t>
  </si>
  <si>
    <t>13</t>
  </si>
  <si>
    <t>599141111R00</t>
  </si>
  <si>
    <t>Vyplnění spár živičnou zálivkou</t>
  </si>
  <si>
    <t>59_</t>
  </si>
  <si>
    <t>11,0+10,0</t>
  </si>
  <si>
    <t>14</t>
  </si>
  <si>
    <t>899231111R00</t>
  </si>
  <si>
    <t>Výšková úprava vstupu do 20 cm, zvýšení mříže</t>
  </si>
  <si>
    <t>kus</t>
  </si>
  <si>
    <t>89_</t>
  </si>
  <si>
    <t>8_</t>
  </si>
  <si>
    <t>15</t>
  </si>
  <si>
    <t>919735112R00</t>
  </si>
  <si>
    <t>Řezání stávajícího živičného krytu tl. 5 - 10 cm</t>
  </si>
  <si>
    <t>91_</t>
  </si>
  <si>
    <t>9_</t>
  </si>
  <si>
    <t>16</t>
  </si>
  <si>
    <t>998225111R00</t>
  </si>
  <si>
    <t>Přesun hmot, pozemní komunikace, kryt živičný</t>
  </si>
  <si>
    <t>17</t>
  </si>
  <si>
    <t>979082213R00</t>
  </si>
  <si>
    <t>Vodorovná doprava suti po suchu do 1 km</t>
  </si>
  <si>
    <t>S_</t>
  </si>
  <si>
    <t>beton</t>
  </si>
  <si>
    <t>0,525+0,2208</t>
  </si>
  <si>
    <t>979082219R00</t>
  </si>
  <si>
    <t>Příplatek za dopravu suti po suchu za další 1 km</t>
  </si>
  <si>
    <t>0,7460*3</t>
  </si>
  <si>
    <t>19</t>
  </si>
  <si>
    <t>979999982R00</t>
  </si>
  <si>
    <t>Poplatek za recyklaci betonu kusovost nad 1600 cm2 (skup.170101)</t>
  </si>
  <si>
    <t>20</t>
  </si>
  <si>
    <t>979999995R00</t>
  </si>
  <si>
    <t>Výkup asfaltového recyklátu</t>
  </si>
  <si>
    <t>Beton asfalt. ACO 11, tl. 4 cm, vč. ošetření podélné prac.spáry</t>
  </si>
  <si>
    <t>IČ 00295892</t>
  </si>
  <si>
    <t>Město Bruntál</t>
  </si>
  <si>
    <t>00295892</t>
  </si>
  <si>
    <t>M. Petrů</t>
  </si>
  <si>
    <t>24122 Bruntál, oprava MK Pflegerova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</si>
</sst>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1" fillId="0" borderId="1" xfId="0" applyFont="1" applyBorder="1" applyAlignment="1" applyProtection="1">
      <alignment vertical="center"/>
    </xf>
    <xf numFmtId="0" fontId="0" fillId="0" borderId="0" xfId="0" applyProtection="1"/>
    <xf numFmtId="4" fontId="3" fillId="2" borderId="0" xfId="0" applyNumberFormat="1" applyFont="1" applyFill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0" fontId="2" fillId="0" borderId="18" xfId="0" applyFont="1" applyBorder="1" applyAlignment="1" applyProtection="1">
      <alignment vertical="center"/>
    </xf>
    <xf numFmtId="0" fontId="0" fillId="0" borderId="68" xfId="0" applyBorder="1" applyProtection="1"/>
    <xf numFmtId="0" fontId="3" fillId="2" borderId="0" xfId="0" applyFont="1" applyFill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0" fillId="0" borderId="6" xfId="0" applyBorder="1" applyProtection="1"/>
    <xf numFmtId="4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18" xfId="0" applyBorder="1" applyProtection="1"/>
    <xf numFmtId="0" fontId="3" fillId="0" borderId="62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center" vertical="center"/>
    </xf>
    <xf numFmtId="0" fontId="2" fillId="0" borderId="69" xfId="0" applyFont="1" applyBorder="1" applyAlignment="1" applyProtection="1">
      <alignment horizontal="left" vertical="center"/>
    </xf>
    <xf numFmtId="0" fontId="2" fillId="0" borderId="70" xfId="0" applyFont="1" applyBorder="1" applyAlignment="1" applyProtection="1">
      <alignment horizontal="left" vertical="center"/>
    </xf>
    <xf numFmtId="0" fontId="2" fillId="2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0" fillId="0" borderId="5" xfId="0" applyBorder="1" applyProtection="1"/>
    <xf numFmtId="0" fontId="10" fillId="0" borderId="0" xfId="0" applyFont="1" applyAlignment="1" applyProtection="1">
      <alignment horizontal="left" vertical="center"/>
    </xf>
    <xf numFmtId="4" fontId="10" fillId="0" borderId="0" xfId="0" applyNumberFormat="1" applyFont="1" applyAlignment="1" applyProtection="1">
      <alignment horizontal="right" vertical="center"/>
    </xf>
    <xf numFmtId="0" fontId="2" fillId="0" borderId="17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4" fontId="2" fillId="0" borderId="9" xfId="0" applyNumberFormat="1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 vertical="center"/>
    </xf>
    <xf numFmtId="0" fontId="3" fillId="0" borderId="71" xfId="0" applyFont="1" applyBorder="1" applyAlignment="1" applyProtection="1">
      <alignment horizontal="left" vertical="center"/>
    </xf>
    <xf numFmtId="0" fontId="3" fillId="0" borderId="72" xfId="0" applyFont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 wrapText="1"/>
    </xf>
    <xf numFmtId="0" fontId="3" fillId="2" borderId="16" xfId="0" applyFont="1" applyFill="1" applyBorder="1" applyAlignment="1" applyProtection="1">
      <alignment horizontal="left" vertical="center"/>
    </xf>
    <xf numFmtId="0" fontId="3" fillId="0" borderId="64" xfId="0" applyFont="1" applyBorder="1" applyAlignment="1" applyProtection="1">
      <alignment horizontal="left" vertical="center"/>
    </xf>
    <xf numFmtId="0" fontId="3" fillId="0" borderId="65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" fillId="0" borderId="37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workbookViewId="0">
      <pane ySplit="11" topLeftCell="A12" activePane="bottomLeft" state="frozen"/>
      <selection pane="bottomLeft" activeCell="C2" sqref="C2:C3"/>
    </sheetView>
  </sheetViews>
  <sheetFormatPr defaultColWidth="12.140625" defaultRowHeight="15" customHeight="1" x14ac:dyDescent="0.25"/>
  <cols>
    <col min="1" max="2" width="8.42578125" customWidth="1"/>
    <col min="3" max="3" width="71.42578125" customWidth="1"/>
    <col min="4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96" t="s">
        <v>0</v>
      </c>
      <c r="B1" s="96"/>
      <c r="C1" s="96"/>
      <c r="D1" s="96"/>
      <c r="E1" s="96"/>
      <c r="F1" s="96"/>
      <c r="G1" s="96"/>
    </row>
    <row r="2" spans="1:9" x14ac:dyDescent="0.25">
      <c r="A2" s="97" t="s">
        <v>1</v>
      </c>
      <c r="B2" s="94"/>
      <c r="C2" s="102" t="str">
        <f>'Stavební rozpočet'!D2</f>
        <v>24122 Bruntál, oprava MK Pflegerova</v>
      </c>
      <c r="D2" s="94" t="s">
        <v>2</v>
      </c>
      <c r="E2" s="94" t="s">
        <v>3</v>
      </c>
      <c r="F2" s="101" t="s">
        <v>4</v>
      </c>
      <c r="G2" s="88" t="str">
        <f>'Stavební rozpočet'!J2</f>
        <v>Město Bruntál</v>
      </c>
    </row>
    <row r="3" spans="1:9" ht="15" customHeight="1" x14ac:dyDescent="0.25">
      <c r="A3" s="98"/>
      <c r="B3" s="87"/>
      <c r="C3" s="103"/>
      <c r="D3" s="87"/>
      <c r="E3" s="87"/>
      <c r="F3" s="87"/>
      <c r="G3" s="89"/>
    </row>
    <row r="4" spans="1:9" x14ac:dyDescent="0.25">
      <c r="A4" s="99" t="s">
        <v>5</v>
      </c>
      <c r="B4" s="87"/>
      <c r="C4" s="92" t="str">
        <f>'Stavební rozpočet'!D4</f>
        <v xml:space="preserve"> </v>
      </c>
      <c r="D4" s="87" t="s">
        <v>6</v>
      </c>
      <c r="E4" s="87"/>
      <c r="F4" s="92" t="s">
        <v>8</v>
      </c>
      <c r="G4" s="90" t="str">
        <f>'Stavební rozpočet'!J4</f>
        <v> </v>
      </c>
    </row>
    <row r="5" spans="1:9" ht="15" customHeight="1" x14ac:dyDescent="0.25">
      <c r="A5" s="98"/>
      <c r="B5" s="87"/>
      <c r="C5" s="87"/>
      <c r="D5" s="87"/>
      <c r="E5" s="87"/>
      <c r="F5" s="87"/>
      <c r="G5" s="89"/>
    </row>
    <row r="6" spans="1:9" x14ac:dyDescent="0.25">
      <c r="A6" s="99" t="s">
        <v>9</v>
      </c>
      <c r="B6" s="87"/>
      <c r="C6" s="92" t="str">
        <f>'Stavební rozpočet'!D6</f>
        <v xml:space="preserve"> </v>
      </c>
      <c r="D6" s="87" t="s">
        <v>10</v>
      </c>
      <c r="E6" s="87" t="s">
        <v>3</v>
      </c>
      <c r="F6" s="92" t="s">
        <v>11</v>
      </c>
      <c r="G6" s="90" t="str">
        <f>'Stavební rozpočet'!J6</f>
        <v> </v>
      </c>
    </row>
    <row r="7" spans="1:9" ht="15" customHeight="1" x14ac:dyDescent="0.25">
      <c r="A7" s="98"/>
      <c r="B7" s="87"/>
      <c r="C7" s="87"/>
      <c r="D7" s="87"/>
      <c r="E7" s="87"/>
      <c r="F7" s="87"/>
      <c r="G7" s="89"/>
    </row>
    <row r="8" spans="1:9" x14ac:dyDescent="0.25">
      <c r="A8" s="99" t="s">
        <v>12</v>
      </c>
      <c r="B8" s="87"/>
      <c r="C8" s="92" t="s">
        <v>211</v>
      </c>
      <c r="D8" s="87" t="s">
        <v>13</v>
      </c>
      <c r="E8" s="87" t="s">
        <v>7</v>
      </c>
      <c r="F8" s="87" t="s">
        <v>13</v>
      </c>
      <c r="G8" s="90" t="str">
        <f>'Stavební rozpočet'!H8</f>
        <v>23.08.2024</v>
      </c>
    </row>
    <row r="9" spans="1:9" x14ac:dyDescent="0.25">
      <c r="A9" s="100"/>
      <c r="B9" s="93"/>
      <c r="C9" s="93"/>
      <c r="D9" s="95"/>
      <c r="E9" s="95"/>
      <c r="F9" s="95"/>
      <c r="G9" s="91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87" t="s">
        <v>20</v>
      </c>
      <c r="D11" s="87"/>
      <c r="E11" s="87"/>
      <c r="F11" s="87"/>
      <c r="G11" s="10">
        <f>ROUND('Stavební rozpočet'!I12,2)</f>
        <v>0</v>
      </c>
      <c r="H11" s="11" t="s">
        <v>21</v>
      </c>
      <c r="I11" s="12">
        <f t="shared" ref="I11:I18" si="0">IF(H11="F",0,G11)</f>
        <v>0</v>
      </c>
    </row>
    <row r="12" spans="1:9" x14ac:dyDescent="0.25">
      <c r="A12" s="1" t="s">
        <v>18</v>
      </c>
      <c r="B12" s="2" t="s">
        <v>22</v>
      </c>
      <c r="C12" s="87" t="s">
        <v>23</v>
      </c>
      <c r="D12" s="87"/>
      <c r="E12" s="87"/>
      <c r="F12" s="87"/>
      <c r="G12" s="12">
        <f>ROUND('Stavební rozpočet'!I18,2)</f>
        <v>0</v>
      </c>
      <c r="H12" s="11" t="s">
        <v>21</v>
      </c>
      <c r="I12" s="12">
        <f t="shared" si="0"/>
        <v>0</v>
      </c>
    </row>
    <row r="13" spans="1:9" x14ac:dyDescent="0.25">
      <c r="A13" s="1" t="s">
        <v>18</v>
      </c>
      <c r="B13" s="2" t="s">
        <v>24</v>
      </c>
      <c r="C13" s="87" t="s">
        <v>25</v>
      </c>
      <c r="D13" s="87"/>
      <c r="E13" s="87"/>
      <c r="F13" s="87"/>
      <c r="G13" s="12">
        <f>ROUND('Stavební rozpočet'!I27,2)</f>
        <v>0</v>
      </c>
      <c r="H13" s="11" t="s">
        <v>21</v>
      </c>
      <c r="I13" s="12">
        <f t="shared" si="0"/>
        <v>0</v>
      </c>
    </row>
    <row r="14" spans="1:9" x14ac:dyDescent="0.25">
      <c r="A14" s="1" t="s">
        <v>18</v>
      </c>
      <c r="B14" s="2" t="s">
        <v>26</v>
      </c>
      <c r="C14" s="87" t="s">
        <v>27</v>
      </c>
      <c r="D14" s="87"/>
      <c r="E14" s="87"/>
      <c r="F14" s="87"/>
      <c r="G14" s="12">
        <f>ROUND('Stavební rozpočet'!I29,2)</f>
        <v>0</v>
      </c>
      <c r="H14" s="11" t="s">
        <v>21</v>
      </c>
      <c r="I14" s="12">
        <f t="shared" si="0"/>
        <v>0</v>
      </c>
    </row>
    <row r="15" spans="1:9" x14ac:dyDescent="0.25">
      <c r="A15" s="1" t="s">
        <v>18</v>
      </c>
      <c r="B15" s="2" t="s">
        <v>28</v>
      </c>
      <c r="C15" s="87" t="s">
        <v>29</v>
      </c>
      <c r="D15" s="87"/>
      <c r="E15" s="87"/>
      <c r="F15" s="87"/>
      <c r="G15" s="12">
        <f>ROUND('Stavební rozpočet'!I34,2)</f>
        <v>0</v>
      </c>
      <c r="H15" s="11" t="s">
        <v>21</v>
      </c>
      <c r="I15" s="12">
        <f t="shared" si="0"/>
        <v>0</v>
      </c>
    </row>
    <row r="16" spans="1:9" x14ac:dyDescent="0.25">
      <c r="A16" s="1" t="s">
        <v>18</v>
      </c>
      <c r="B16" s="2" t="s">
        <v>30</v>
      </c>
      <c r="C16" s="87" t="s">
        <v>31</v>
      </c>
      <c r="D16" s="87"/>
      <c r="E16" s="87"/>
      <c r="F16" s="87"/>
      <c r="G16" s="12">
        <f>ROUND('Stavební rozpočet'!I37,2)</f>
        <v>0</v>
      </c>
      <c r="H16" s="11" t="s">
        <v>21</v>
      </c>
      <c r="I16" s="12">
        <f t="shared" si="0"/>
        <v>0</v>
      </c>
    </row>
    <row r="17" spans="1:9" x14ac:dyDescent="0.25">
      <c r="A17" s="1" t="s">
        <v>18</v>
      </c>
      <c r="B17" s="2" t="s">
        <v>32</v>
      </c>
      <c r="C17" s="87" t="s">
        <v>33</v>
      </c>
      <c r="D17" s="87"/>
      <c r="E17" s="87"/>
      <c r="F17" s="87"/>
      <c r="G17" s="12">
        <f>ROUND('Stavební rozpočet'!I39,2)</f>
        <v>0</v>
      </c>
      <c r="H17" s="11" t="s">
        <v>21</v>
      </c>
      <c r="I17" s="12">
        <f t="shared" si="0"/>
        <v>0</v>
      </c>
    </row>
    <row r="18" spans="1:9" x14ac:dyDescent="0.25">
      <c r="A18" s="1" t="s">
        <v>18</v>
      </c>
      <c r="B18" s="2" t="s">
        <v>34</v>
      </c>
      <c r="C18" s="87" t="s">
        <v>35</v>
      </c>
      <c r="D18" s="87"/>
      <c r="E18" s="87"/>
      <c r="F18" s="87"/>
      <c r="G18" s="12">
        <f>ROUND('Stavební rozpočet'!I43,2)</f>
        <v>-6538.4</v>
      </c>
      <c r="H18" s="11" t="s">
        <v>21</v>
      </c>
      <c r="I18" s="12">
        <f t="shared" si="0"/>
        <v>-6538.4</v>
      </c>
    </row>
    <row r="19" spans="1:9" x14ac:dyDescent="0.25">
      <c r="F19" s="3" t="s">
        <v>36</v>
      </c>
      <c r="G19" s="13">
        <f>ROUND(SUM(I11:I18),2)</f>
        <v>-6538.4</v>
      </c>
    </row>
  </sheetData>
  <mergeCells count="33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7:F17"/>
    <mergeCell ref="C18:F18"/>
    <mergeCell ref="C12:F12"/>
    <mergeCell ref="C13:F13"/>
    <mergeCell ref="C14:F14"/>
    <mergeCell ref="C15:F15"/>
    <mergeCell ref="C16:F16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9" t="s">
        <v>37</v>
      </c>
      <c r="B1" s="96"/>
      <c r="C1" s="96"/>
      <c r="D1" s="96"/>
      <c r="E1" s="96"/>
      <c r="F1" s="96"/>
      <c r="G1" s="96"/>
      <c r="H1" s="96"/>
      <c r="I1" s="96"/>
    </row>
    <row r="2" spans="1:9" x14ac:dyDescent="0.25">
      <c r="A2" s="97" t="s">
        <v>1</v>
      </c>
      <c r="B2" s="94"/>
      <c r="C2" s="102" t="str">
        <f>'Stavební rozpočet'!D2</f>
        <v>24122 Bruntál, oprava MK Pflegerova</v>
      </c>
      <c r="D2" s="143"/>
      <c r="E2" s="101" t="s">
        <v>4</v>
      </c>
      <c r="F2" s="101" t="str">
        <f>'Stavební rozpočet'!J2</f>
        <v>Město Bruntál</v>
      </c>
      <c r="G2" s="94"/>
      <c r="H2" s="101" t="s">
        <v>38</v>
      </c>
      <c r="I2" s="140" t="s">
        <v>210</v>
      </c>
    </row>
    <row r="3" spans="1:9" ht="15" customHeight="1" x14ac:dyDescent="0.25">
      <c r="A3" s="98"/>
      <c r="B3" s="87"/>
      <c r="C3" s="103"/>
      <c r="D3" s="103"/>
      <c r="E3" s="87"/>
      <c r="F3" s="87"/>
      <c r="G3" s="87"/>
      <c r="H3" s="87"/>
      <c r="I3" s="141"/>
    </row>
    <row r="4" spans="1:9" x14ac:dyDescent="0.25">
      <c r="A4" s="99" t="s">
        <v>5</v>
      </c>
      <c r="B4" s="87"/>
      <c r="C4" s="92" t="str">
        <f>'Stavební rozpočet'!D4</f>
        <v xml:space="preserve"> </v>
      </c>
      <c r="D4" s="87"/>
      <c r="E4" s="92" t="s">
        <v>8</v>
      </c>
      <c r="F4" s="92" t="str">
        <f>'Stavební rozpočet'!J4</f>
        <v> </v>
      </c>
      <c r="G4" s="87"/>
      <c r="H4" s="92" t="s">
        <v>38</v>
      </c>
      <c r="I4" s="89" t="s">
        <v>18</v>
      </c>
    </row>
    <row r="5" spans="1:9" ht="15" customHeight="1" x14ac:dyDescent="0.25">
      <c r="A5" s="98"/>
      <c r="B5" s="87"/>
      <c r="C5" s="87"/>
      <c r="D5" s="87"/>
      <c r="E5" s="87"/>
      <c r="F5" s="87"/>
      <c r="G5" s="87"/>
      <c r="H5" s="87"/>
      <c r="I5" s="89"/>
    </row>
    <row r="6" spans="1:9" x14ac:dyDescent="0.25">
      <c r="A6" s="99" t="s">
        <v>9</v>
      </c>
      <c r="B6" s="87"/>
      <c r="C6" s="92" t="str">
        <f>'Stavební rozpočet'!D6</f>
        <v xml:space="preserve"> </v>
      </c>
      <c r="D6" s="87"/>
      <c r="E6" s="92" t="s">
        <v>11</v>
      </c>
      <c r="F6" s="92" t="str">
        <f>'Stavební rozpočet'!J6</f>
        <v> </v>
      </c>
      <c r="G6" s="87"/>
      <c r="H6" s="92" t="s">
        <v>38</v>
      </c>
      <c r="I6" s="89" t="s">
        <v>18</v>
      </c>
    </row>
    <row r="7" spans="1:9" ht="15" customHeight="1" x14ac:dyDescent="0.25">
      <c r="A7" s="98"/>
      <c r="B7" s="87"/>
      <c r="C7" s="87"/>
      <c r="D7" s="87"/>
      <c r="E7" s="87"/>
      <c r="F7" s="87"/>
      <c r="G7" s="87"/>
      <c r="H7" s="87"/>
      <c r="I7" s="89"/>
    </row>
    <row r="8" spans="1:9" x14ac:dyDescent="0.25">
      <c r="A8" s="99" t="s">
        <v>6</v>
      </c>
      <c r="B8" s="87"/>
      <c r="C8" s="92"/>
      <c r="D8" s="87"/>
      <c r="E8" s="92" t="s">
        <v>10</v>
      </c>
      <c r="F8" s="92" t="str">
        <f>'Stavební rozpočet'!H6</f>
        <v xml:space="preserve"> </v>
      </c>
      <c r="G8" s="87"/>
      <c r="H8" s="87" t="s">
        <v>39</v>
      </c>
      <c r="I8" s="142">
        <v>20</v>
      </c>
    </row>
    <row r="9" spans="1:9" x14ac:dyDescent="0.25">
      <c r="A9" s="98"/>
      <c r="B9" s="87"/>
      <c r="C9" s="87"/>
      <c r="D9" s="87"/>
      <c r="E9" s="87"/>
      <c r="F9" s="87"/>
      <c r="G9" s="87"/>
      <c r="H9" s="87"/>
      <c r="I9" s="89"/>
    </row>
    <row r="10" spans="1:9" x14ac:dyDescent="0.25">
      <c r="A10" s="99" t="s">
        <v>40</v>
      </c>
      <c r="B10" s="87"/>
      <c r="C10" s="92" t="str">
        <f>'Stavební rozpočet'!D8</f>
        <v xml:space="preserve"> </v>
      </c>
      <c r="D10" s="87"/>
      <c r="E10" s="92" t="s">
        <v>12</v>
      </c>
      <c r="F10" s="92" t="s">
        <v>211</v>
      </c>
      <c r="G10" s="87"/>
      <c r="H10" s="87" t="s">
        <v>41</v>
      </c>
      <c r="I10" s="90" t="str">
        <f>'Stavební rozpočet'!H8</f>
        <v>23.08.2024</v>
      </c>
    </row>
    <row r="11" spans="1:9" x14ac:dyDescent="0.25">
      <c r="A11" s="138"/>
      <c r="B11" s="95"/>
      <c r="C11" s="95"/>
      <c r="D11" s="95"/>
      <c r="E11" s="95"/>
      <c r="F11" s="95"/>
      <c r="G11" s="95"/>
      <c r="H11" s="95"/>
      <c r="I11" s="134"/>
    </row>
    <row r="12" spans="1:9" ht="23.25" x14ac:dyDescent="0.25">
      <c r="A12" s="135" t="s">
        <v>42</v>
      </c>
      <c r="B12" s="135"/>
      <c r="C12" s="135"/>
      <c r="D12" s="135"/>
      <c r="E12" s="135"/>
      <c r="F12" s="135"/>
      <c r="G12" s="135"/>
      <c r="H12" s="135"/>
      <c r="I12" s="135"/>
    </row>
    <row r="13" spans="1:9" ht="26.25" customHeight="1" x14ac:dyDescent="0.25">
      <c r="A13" s="14" t="s">
        <v>43</v>
      </c>
      <c r="B13" s="136" t="s">
        <v>44</v>
      </c>
      <c r="C13" s="137"/>
      <c r="D13" s="15" t="s">
        <v>45</v>
      </c>
      <c r="E13" s="136" t="s">
        <v>46</v>
      </c>
      <c r="F13" s="137"/>
      <c r="G13" s="15" t="s">
        <v>47</v>
      </c>
      <c r="H13" s="136" t="s">
        <v>48</v>
      </c>
      <c r="I13" s="137"/>
    </row>
    <row r="14" spans="1:9" ht="15.75" x14ac:dyDescent="0.25">
      <c r="A14" s="16" t="s">
        <v>49</v>
      </c>
      <c r="B14" s="17" t="s">
        <v>50</v>
      </c>
      <c r="C14" s="18">
        <f>SUM('Stavební rozpočet'!AB12:AB50)</f>
        <v>0</v>
      </c>
      <c r="D14" s="124" t="s">
        <v>51</v>
      </c>
      <c r="E14" s="125"/>
      <c r="F14" s="18">
        <f>VORN!I15</f>
        <v>0</v>
      </c>
      <c r="G14" s="124" t="s">
        <v>52</v>
      </c>
      <c r="H14" s="125"/>
      <c r="I14" s="19">
        <f>VORN!I21</f>
        <v>0</v>
      </c>
    </row>
    <row r="15" spans="1:9" ht="15.75" x14ac:dyDescent="0.25">
      <c r="A15" s="20" t="s">
        <v>18</v>
      </c>
      <c r="B15" s="17" t="s">
        <v>53</v>
      </c>
      <c r="C15" s="18">
        <f>SUM('Stavební rozpočet'!AC12:AC50)</f>
        <v>0</v>
      </c>
      <c r="D15" s="124" t="s">
        <v>54</v>
      </c>
      <c r="E15" s="125"/>
      <c r="F15" s="18">
        <f>VORN!I16</f>
        <v>0</v>
      </c>
      <c r="G15" s="124" t="s">
        <v>55</v>
      </c>
      <c r="H15" s="125"/>
      <c r="I15" s="19">
        <f>VORN!I22</f>
        <v>0</v>
      </c>
    </row>
    <row r="16" spans="1:9" ht="15.75" x14ac:dyDescent="0.25">
      <c r="A16" s="16" t="s">
        <v>56</v>
      </c>
      <c r="B16" s="17" t="s">
        <v>50</v>
      </c>
      <c r="C16" s="18">
        <f>SUM('Stavební rozpočet'!AD12:AD50)</f>
        <v>0</v>
      </c>
      <c r="D16" s="124" t="s">
        <v>57</v>
      </c>
      <c r="E16" s="125"/>
      <c r="F16" s="18">
        <f>VORN!I17</f>
        <v>0</v>
      </c>
      <c r="G16" s="124" t="s">
        <v>58</v>
      </c>
      <c r="H16" s="125"/>
      <c r="I16" s="19">
        <f>VORN!I23</f>
        <v>0</v>
      </c>
    </row>
    <row r="17" spans="1:9" ht="15.75" x14ac:dyDescent="0.25">
      <c r="A17" s="20" t="s">
        <v>18</v>
      </c>
      <c r="B17" s="17" t="s">
        <v>53</v>
      </c>
      <c r="C17" s="18">
        <f>SUM('Stavební rozpočet'!AE12:AE50)</f>
        <v>0</v>
      </c>
      <c r="D17" s="124" t="s">
        <v>18</v>
      </c>
      <c r="E17" s="125"/>
      <c r="F17" s="19" t="s">
        <v>18</v>
      </c>
      <c r="G17" s="124" t="s">
        <v>59</v>
      </c>
      <c r="H17" s="125"/>
      <c r="I17" s="19">
        <f>VORN!I24</f>
        <v>0</v>
      </c>
    </row>
    <row r="18" spans="1:9" ht="15.75" x14ac:dyDescent="0.25">
      <c r="A18" s="16" t="s">
        <v>60</v>
      </c>
      <c r="B18" s="17" t="s">
        <v>50</v>
      </c>
      <c r="C18" s="18">
        <f>SUM('Stavební rozpočet'!AF12:AF50)</f>
        <v>0</v>
      </c>
      <c r="D18" s="124" t="s">
        <v>18</v>
      </c>
      <c r="E18" s="125"/>
      <c r="F18" s="19" t="s">
        <v>18</v>
      </c>
      <c r="G18" s="124" t="s">
        <v>61</v>
      </c>
      <c r="H18" s="125"/>
      <c r="I18" s="19">
        <f>VORN!I25</f>
        <v>0</v>
      </c>
    </row>
    <row r="19" spans="1:9" ht="15.75" x14ac:dyDescent="0.25">
      <c r="A19" s="20" t="s">
        <v>18</v>
      </c>
      <c r="B19" s="17" t="s">
        <v>53</v>
      </c>
      <c r="C19" s="18">
        <f>SUM('Stavební rozpočet'!AG12:AG50)</f>
        <v>0</v>
      </c>
      <c r="D19" s="124" t="s">
        <v>18</v>
      </c>
      <c r="E19" s="125"/>
      <c r="F19" s="19" t="s">
        <v>18</v>
      </c>
      <c r="G19" s="124" t="s">
        <v>62</v>
      </c>
      <c r="H19" s="125"/>
      <c r="I19" s="19">
        <f>VORN!I26</f>
        <v>0</v>
      </c>
    </row>
    <row r="20" spans="1:9" ht="15.75" x14ac:dyDescent="0.25">
      <c r="A20" s="116" t="s">
        <v>63</v>
      </c>
      <c r="B20" s="117"/>
      <c r="C20" s="18">
        <f>SUM('Stavební rozpočet'!AH12:AH50)</f>
        <v>0</v>
      </c>
      <c r="D20" s="124" t="s">
        <v>18</v>
      </c>
      <c r="E20" s="125"/>
      <c r="F20" s="19" t="s">
        <v>18</v>
      </c>
      <c r="G20" s="124" t="s">
        <v>18</v>
      </c>
      <c r="H20" s="125"/>
      <c r="I20" s="19" t="s">
        <v>18</v>
      </c>
    </row>
    <row r="21" spans="1:9" ht="15.75" x14ac:dyDescent="0.25">
      <c r="A21" s="131" t="s">
        <v>64</v>
      </c>
      <c r="B21" s="132"/>
      <c r="C21" s="21">
        <f>SUM('Stavební rozpočet'!Z12:Z50)</f>
        <v>-6538.4</v>
      </c>
      <c r="D21" s="126" t="s">
        <v>18</v>
      </c>
      <c r="E21" s="127"/>
      <c r="F21" s="22" t="s">
        <v>18</v>
      </c>
      <c r="G21" s="126" t="s">
        <v>18</v>
      </c>
      <c r="H21" s="127"/>
      <c r="I21" s="22" t="s">
        <v>18</v>
      </c>
    </row>
    <row r="22" spans="1:9" ht="16.5" customHeight="1" x14ac:dyDescent="0.25">
      <c r="A22" s="133" t="s">
        <v>65</v>
      </c>
      <c r="B22" s="129"/>
      <c r="C22" s="23">
        <f>ROUND(SUM(C14:C21),2)</f>
        <v>-6538.4</v>
      </c>
      <c r="D22" s="128" t="s">
        <v>66</v>
      </c>
      <c r="E22" s="129"/>
      <c r="F22" s="23">
        <f>SUM(F14:F21)</f>
        <v>0</v>
      </c>
      <c r="G22" s="128" t="s">
        <v>67</v>
      </c>
      <c r="H22" s="129"/>
      <c r="I22" s="23">
        <f>SUM(I14:I21)</f>
        <v>0</v>
      </c>
    </row>
    <row r="23" spans="1:9" ht="15.75" x14ac:dyDescent="0.25">
      <c r="D23" s="116" t="s">
        <v>68</v>
      </c>
      <c r="E23" s="117"/>
      <c r="F23" s="24">
        <v>0</v>
      </c>
      <c r="G23" s="130" t="s">
        <v>69</v>
      </c>
      <c r="H23" s="117"/>
      <c r="I23" s="18">
        <v>0</v>
      </c>
    </row>
    <row r="24" spans="1:9" ht="15.75" x14ac:dyDescent="0.25">
      <c r="G24" s="116" t="s">
        <v>70</v>
      </c>
      <c r="H24" s="117"/>
      <c r="I24" s="21">
        <f>vorn_sum</f>
        <v>0</v>
      </c>
    </row>
    <row r="25" spans="1:9" ht="15.75" x14ac:dyDescent="0.25">
      <c r="G25" s="116" t="s">
        <v>71</v>
      </c>
      <c r="H25" s="117"/>
      <c r="I25" s="23">
        <v>0</v>
      </c>
    </row>
    <row r="27" spans="1:9" ht="15.75" x14ac:dyDescent="0.25">
      <c r="A27" s="118" t="s">
        <v>72</v>
      </c>
      <c r="B27" s="119"/>
      <c r="C27" s="25">
        <f>ROUND(SUM('Stavební rozpočet'!AJ12:AJ50),2)</f>
        <v>0</v>
      </c>
    </row>
    <row r="28" spans="1:9" ht="15.75" x14ac:dyDescent="0.25">
      <c r="A28" s="120" t="s">
        <v>73</v>
      </c>
      <c r="B28" s="121"/>
      <c r="C28" s="26">
        <f>ROUND(SUM('Stavební rozpočet'!AK12:AK50),2)</f>
        <v>0</v>
      </c>
      <c r="D28" s="122" t="s">
        <v>74</v>
      </c>
      <c r="E28" s="119"/>
      <c r="F28" s="25">
        <f>ROUND(C28*(12/100),2)</f>
        <v>0</v>
      </c>
      <c r="G28" s="122" t="s">
        <v>75</v>
      </c>
      <c r="H28" s="119"/>
      <c r="I28" s="25">
        <f>ROUND(SUM(C27:C29),2)</f>
        <v>-6538.4</v>
      </c>
    </row>
    <row r="29" spans="1:9" ht="15.75" x14ac:dyDescent="0.25">
      <c r="A29" s="120" t="s">
        <v>76</v>
      </c>
      <c r="B29" s="121"/>
      <c r="C29" s="26">
        <f>ROUND(SUM('Stavební rozpočet'!AL12:AL50)+(F22+I22+F23+I23+I24+I25),2)</f>
        <v>-6538.4</v>
      </c>
      <c r="D29" s="123" t="s">
        <v>77</v>
      </c>
      <c r="E29" s="121"/>
      <c r="F29" s="26">
        <f>ROUND(C29*(21/100),2)</f>
        <v>-1373.06</v>
      </c>
      <c r="G29" s="123" t="s">
        <v>78</v>
      </c>
      <c r="H29" s="121"/>
      <c r="I29" s="26">
        <f>ROUND(SUM(F28:F29)+I28,2)</f>
        <v>-7911.46</v>
      </c>
    </row>
    <row r="31" spans="1:9" x14ac:dyDescent="0.25">
      <c r="A31" s="113" t="s">
        <v>79</v>
      </c>
      <c r="B31" s="105"/>
      <c r="C31" s="106"/>
      <c r="D31" s="104" t="s">
        <v>80</v>
      </c>
      <c r="E31" s="105"/>
      <c r="F31" s="106"/>
      <c r="G31" s="104" t="s">
        <v>81</v>
      </c>
      <c r="H31" s="105"/>
      <c r="I31" s="106"/>
    </row>
    <row r="32" spans="1:9" x14ac:dyDescent="0.25">
      <c r="A32" s="114" t="s">
        <v>18</v>
      </c>
      <c r="B32" s="108"/>
      <c r="C32" s="109"/>
      <c r="D32" s="107" t="s">
        <v>18</v>
      </c>
      <c r="E32" s="108"/>
      <c r="F32" s="109"/>
      <c r="G32" s="107" t="s">
        <v>18</v>
      </c>
      <c r="H32" s="108"/>
      <c r="I32" s="109"/>
    </row>
    <row r="33" spans="1:9" x14ac:dyDescent="0.25">
      <c r="A33" s="114" t="s">
        <v>18</v>
      </c>
      <c r="B33" s="108"/>
      <c r="C33" s="109"/>
      <c r="D33" s="107" t="s">
        <v>18</v>
      </c>
      <c r="E33" s="108"/>
      <c r="F33" s="109"/>
      <c r="G33" s="107" t="s">
        <v>18</v>
      </c>
      <c r="H33" s="108"/>
      <c r="I33" s="109"/>
    </row>
    <row r="34" spans="1:9" x14ac:dyDescent="0.25">
      <c r="A34" s="114" t="s">
        <v>18</v>
      </c>
      <c r="B34" s="108"/>
      <c r="C34" s="109"/>
      <c r="D34" s="107" t="s">
        <v>18</v>
      </c>
      <c r="E34" s="108"/>
      <c r="F34" s="109"/>
      <c r="G34" s="107" t="s">
        <v>18</v>
      </c>
      <c r="H34" s="108"/>
      <c r="I34" s="109"/>
    </row>
    <row r="35" spans="1:9" x14ac:dyDescent="0.25">
      <c r="A35" s="115" t="s">
        <v>82</v>
      </c>
      <c r="B35" s="111"/>
      <c r="C35" s="112"/>
      <c r="D35" s="110" t="s">
        <v>82</v>
      </c>
      <c r="E35" s="111"/>
      <c r="F35" s="112"/>
      <c r="G35" s="110" t="s">
        <v>82</v>
      </c>
      <c r="H35" s="111"/>
      <c r="I35" s="112"/>
    </row>
    <row r="36" spans="1:9" x14ac:dyDescent="0.25">
      <c r="A36" s="27" t="s">
        <v>83</v>
      </c>
    </row>
    <row r="37" spans="1:9" ht="12.75" customHeight="1" x14ac:dyDescent="0.25">
      <c r="A37" s="92" t="s">
        <v>18</v>
      </c>
      <c r="B37" s="87"/>
      <c r="C37" s="87"/>
      <c r="D37" s="87"/>
      <c r="E37" s="87"/>
      <c r="F37" s="87"/>
      <c r="G37" s="87"/>
      <c r="H37" s="87"/>
      <c r="I37" s="87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9" t="s">
        <v>84</v>
      </c>
      <c r="B1" s="96"/>
      <c r="C1" s="96"/>
      <c r="D1" s="96"/>
      <c r="E1" s="96"/>
      <c r="F1" s="96"/>
      <c r="G1" s="96"/>
      <c r="H1" s="96"/>
      <c r="I1" s="96"/>
    </row>
    <row r="2" spans="1:9" x14ac:dyDescent="0.25">
      <c r="A2" s="97" t="s">
        <v>1</v>
      </c>
      <c r="B2" s="94"/>
      <c r="C2" s="102" t="str">
        <f>'Stavební rozpočet'!D2</f>
        <v>24122 Bruntál, oprava MK Pflegerova</v>
      </c>
      <c r="D2" s="143"/>
      <c r="E2" s="101" t="s">
        <v>4</v>
      </c>
      <c r="F2" s="101" t="str">
        <f>'Stavební rozpočet'!J2</f>
        <v>Město Bruntál</v>
      </c>
      <c r="G2" s="94"/>
      <c r="H2" s="101" t="s">
        <v>38</v>
      </c>
      <c r="I2" s="163" t="s">
        <v>18</v>
      </c>
    </row>
    <row r="3" spans="1:9" ht="15" customHeight="1" x14ac:dyDescent="0.25">
      <c r="A3" s="98"/>
      <c r="B3" s="87"/>
      <c r="C3" s="103"/>
      <c r="D3" s="103"/>
      <c r="E3" s="87"/>
      <c r="F3" s="87"/>
      <c r="G3" s="87"/>
      <c r="H3" s="87"/>
      <c r="I3" s="89"/>
    </row>
    <row r="4" spans="1:9" x14ac:dyDescent="0.25">
      <c r="A4" s="99" t="s">
        <v>5</v>
      </c>
      <c r="B4" s="87"/>
      <c r="C4" s="92" t="str">
        <f>'Stavební rozpočet'!D4</f>
        <v xml:space="preserve"> </v>
      </c>
      <c r="D4" s="87"/>
      <c r="E4" s="92" t="s">
        <v>8</v>
      </c>
      <c r="F4" s="92" t="str">
        <f>'Stavební rozpočet'!J4</f>
        <v> </v>
      </c>
      <c r="G4" s="87"/>
      <c r="H4" s="92" t="s">
        <v>38</v>
      </c>
      <c r="I4" s="89" t="s">
        <v>18</v>
      </c>
    </row>
    <row r="5" spans="1:9" ht="15" customHeight="1" x14ac:dyDescent="0.25">
      <c r="A5" s="98"/>
      <c r="B5" s="87"/>
      <c r="C5" s="87"/>
      <c r="D5" s="87"/>
      <c r="E5" s="87"/>
      <c r="F5" s="87"/>
      <c r="G5" s="87"/>
      <c r="H5" s="87"/>
      <c r="I5" s="89"/>
    </row>
    <row r="6" spans="1:9" x14ac:dyDescent="0.25">
      <c r="A6" s="99" t="s">
        <v>9</v>
      </c>
      <c r="B6" s="87"/>
      <c r="C6" s="92" t="str">
        <f>'Stavební rozpočet'!D6</f>
        <v xml:space="preserve"> </v>
      </c>
      <c r="D6" s="87"/>
      <c r="E6" s="92" t="s">
        <v>11</v>
      </c>
      <c r="F6" s="92" t="str">
        <f>'Stavební rozpočet'!J6</f>
        <v> </v>
      </c>
      <c r="G6" s="87"/>
      <c r="H6" s="92" t="s">
        <v>38</v>
      </c>
      <c r="I6" s="89" t="s">
        <v>18</v>
      </c>
    </row>
    <row r="7" spans="1:9" ht="15" customHeight="1" x14ac:dyDescent="0.25">
      <c r="A7" s="98"/>
      <c r="B7" s="87"/>
      <c r="C7" s="87"/>
      <c r="D7" s="87"/>
      <c r="E7" s="87"/>
      <c r="F7" s="87"/>
      <c r="G7" s="87"/>
      <c r="H7" s="87"/>
      <c r="I7" s="89"/>
    </row>
    <row r="8" spans="1:9" x14ac:dyDescent="0.25">
      <c r="A8" s="99" t="s">
        <v>6</v>
      </c>
      <c r="B8" s="87"/>
      <c r="C8" s="92">
        <f>'Stavební rozpočet'!H4</f>
        <v>0</v>
      </c>
      <c r="D8" s="87"/>
      <c r="E8" s="92" t="s">
        <v>10</v>
      </c>
      <c r="F8" s="92" t="str">
        <f>'Stavební rozpočet'!H6</f>
        <v xml:space="preserve"> </v>
      </c>
      <c r="G8" s="87"/>
      <c r="H8" s="87" t="s">
        <v>39</v>
      </c>
      <c r="I8" s="142">
        <v>20</v>
      </c>
    </row>
    <row r="9" spans="1:9" x14ac:dyDescent="0.25">
      <c r="A9" s="98"/>
      <c r="B9" s="87"/>
      <c r="C9" s="87"/>
      <c r="D9" s="87"/>
      <c r="E9" s="87"/>
      <c r="F9" s="87"/>
      <c r="G9" s="87"/>
      <c r="H9" s="87"/>
      <c r="I9" s="89"/>
    </row>
    <row r="10" spans="1:9" x14ac:dyDescent="0.25">
      <c r="A10" s="99" t="s">
        <v>40</v>
      </c>
      <c r="B10" s="87"/>
      <c r="C10" s="92" t="str">
        <f>'Stavební rozpočet'!D8</f>
        <v xml:space="preserve"> </v>
      </c>
      <c r="D10" s="87"/>
      <c r="E10" s="92" t="s">
        <v>12</v>
      </c>
      <c r="F10" s="92" t="str">
        <f>'Stavební rozpočet'!J8</f>
        <v>M. Petrů</v>
      </c>
      <c r="G10" s="87"/>
      <c r="H10" s="87" t="s">
        <v>41</v>
      </c>
      <c r="I10" s="90" t="str">
        <f>'Stavební rozpočet'!H8</f>
        <v>23.08.2024</v>
      </c>
    </row>
    <row r="11" spans="1:9" x14ac:dyDescent="0.25">
      <c r="A11" s="138"/>
      <c r="B11" s="95"/>
      <c r="C11" s="95"/>
      <c r="D11" s="95"/>
      <c r="E11" s="95"/>
      <c r="F11" s="95"/>
      <c r="G11" s="95"/>
      <c r="H11" s="95"/>
      <c r="I11" s="134"/>
    </row>
    <row r="13" spans="1:9" ht="15.75" x14ac:dyDescent="0.25">
      <c r="A13" s="153" t="s">
        <v>85</v>
      </c>
      <c r="B13" s="153"/>
      <c r="C13" s="153"/>
      <c r="D13" s="153"/>
      <c r="E13" s="153"/>
    </row>
    <row r="14" spans="1:9" x14ac:dyDescent="0.25">
      <c r="A14" s="154" t="s">
        <v>86</v>
      </c>
      <c r="B14" s="155"/>
      <c r="C14" s="155"/>
      <c r="D14" s="155"/>
      <c r="E14" s="156"/>
      <c r="F14" s="28" t="s">
        <v>87</v>
      </c>
      <c r="G14" s="28" t="s">
        <v>88</v>
      </c>
      <c r="H14" s="28" t="s">
        <v>89</v>
      </c>
      <c r="I14" s="28" t="s">
        <v>87</v>
      </c>
    </row>
    <row r="15" spans="1:9" x14ac:dyDescent="0.25">
      <c r="A15" s="160" t="s">
        <v>51</v>
      </c>
      <c r="B15" s="161"/>
      <c r="C15" s="161"/>
      <c r="D15" s="161"/>
      <c r="E15" s="162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5">
      <c r="A16" s="160" t="s">
        <v>54</v>
      </c>
      <c r="B16" s="161"/>
      <c r="C16" s="161"/>
      <c r="D16" s="161"/>
      <c r="E16" s="162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5">
      <c r="A17" s="157" t="s">
        <v>57</v>
      </c>
      <c r="B17" s="158"/>
      <c r="C17" s="158"/>
      <c r="D17" s="158"/>
      <c r="E17" s="159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5">
      <c r="A18" s="144" t="s">
        <v>90</v>
      </c>
      <c r="B18" s="145"/>
      <c r="C18" s="145"/>
      <c r="D18" s="145"/>
      <c r="E18" s="146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5">
      <c r="A20" s="154" t="s">
        <v>48</v>
      </c>
      <c r="B20" s="155"/>
      <c r="C20" s="155"/>
      <c r="D20" s="155"/>
      <c r="E20" s="156"/>
      <c r="F20" s="28" t="s">
        <v>87</v>
      </c>
      <c r="G20" s="28" t="s">
        <v>88</v>
      </c>
      <c r="H20" s="28" t="s">
        <v>89</v>
      </c>
      <c r="I20" s="28" t="s">
        <v>87</v>
      </c>
    </row>
    <row r="21" spans="1:9" x14ac:dyDescent="0.25">
      <c r="A21" s="160" t="s">
        <v>52</v>
      </c>
      <c r="B21" s="161"/>
      <c r="C21" s="161"/>
      <c r="D21" s="161"/>
      <c r="E21" s="162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5">
      <c r="A22" s="160" t="s">
        <v>55</v>
      </c>
      <c r="B22" s="161"/>
      <c r="C22" s="161"/>
      <c r="D22" s="161"/>
      <c r="E22" s="162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5">
      <c r="A23" s="160" t="s">
        <v>58</v>
      </c>
      <c r="B23" s="161"/>
      <c r="C23" s="161"/>
      <c r="D23" s="161"/>
      <c r="E23" s="162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5">
      <c r="A24" s="160" t="s">
        <v>59</v>
      </c>
      <c r="B24" s="161"/>
      <c r="C24" s="161"/>
      <c r="D24" s="161"/>
      <c r="E24" s="162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5">
      <c r="A25" s="160" t="s">
        <v>61</v>
      </c>
      <c r="B25" s="161"/>
      <c r="C25" s="161"/>
      <c r="D25" s="161"/>
      <c r="E25" s="162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5">
      <c r="A26" s="157" t="s">
        <v>62</v>
      </c>
      <c r="B26" s="158"/>
      <c r="C26" s="158"/>
      <c r="D26" s="158"/>
      <c r="E26" s="159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5">
      <c r="A27" s="144" t="s">
        <v>91</v>
      </c>
      <c r="B27" s="145"/>
      <c r="C27" s="145"/>
      <c r="D27" s="145"/>
      <c r="E27" s="146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5.75" x14ac:dyDescent="0.25">
      <c r="A29" s="147" t="s">
        <v>92</v>
      </c>
      <c r="B29" s="148"/>
      <c r="C29" s="148"/>
      <c r="D29" s="148"/>
      <c r="E29" s="149"/>
      <c r="F29" s="150">
        <f>I18+I27</f>
        <v>0</v>
      </c>
      <c r="G29" s="151"/>
      <c r="H29" s="151"/>
      <c r="I29" s="152"/>
    </row>
    <row r="33" spans="1:9" ht="15.75" x14ac:dyDescent="0.25">
      <c r="A33" s="153" t="s">
        <v>93</v>
      </c>
      <c r="B33" s="153"/>
      <c r="C33" s="153"/>
      <c r="D33" s="153"/>
      <c r="E33" s="153"/>
    </row>
    <row r="34" spans="1:9" x14ac:dyDescent="0.25">
      <c r="A34" s="154" t="s">
        <v>94</v>
      </c>
      <c r="B34" s="155"/>
      <c r="C34" s="155"/>
      <c r="D34" s="155"/>
      <c r="E34" s="156"/>
      <c r="F34" s="28" t="s">
        <v>87</v>
      </c>
      <c r="G34" s="28" t="s">
        <v>88</v>
      </c>
      <c r="H34" s="28" t="s">
        <v>89</v>
      </c>
      <c r="I34" s="28" t="s">
        <v>87</v>
      </c>
    </row>
    <row r="35" spans="1:9" x14ac:dyDescent="0.25">
      <c r="A35" s="157" t="s">
        <v>18</v>
      </c>
      <c r="B35" s="158"/>
      <c r="C35" s="158"/>
      <c r="D35" s="158"/>
      <c r="E35" s="159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5">
      <c r="A36" s="144" t="s">
        <v>95</v>
      </c>
      <c r="B36" s="145"/>
      <c r="C36" s="145"/>
      <c r="D36" s="145"/>
      <c r="E36" s="146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52"/>
  <sheetViews>
    <sheetView tabSelected="1" workbookViewId="0">
      <pane ySplit="11" topLeftCell="A27" activePane="bottomLeft" state="frozen"/>
      <selection pane="bottomLeft" activeCell="G53" sqref="G53"/>
    </sheetView>
  </sheetViews>
  <sheetFormatPr defaultColWidth="12.140625" defaultRowHeight="15" customHeight="1" x14ac:dyDescent="0.25"/>
  <cols>
    <col min="1" max="1" width="3.140625" style="54" customWidth="1"/>
    <col min="2" max="2" width="7.42578125" style="54" customWidth="1"/>
    <col min="3" max="3" width="17.85546875" style="54" customWidth="1"/>
    <col min="4" max="4" width="28.42578125" style="54" customWidth="1"/>
    <col min="5" max="5" width="28.7109375" style="54" customWidth="1"/>
    <col min="6" max="6" width="4.28515625" style="54" customWidth="1"/>
    <col min="7" max="7" width="12.85546875" style="54" customWidth="1"/>
    <col min="8" max="8" width="12" style="36" customWidth="1"/>
    <col min="9" max="9" width="15.7109375" style="36" customWidth="1"/>
    <col min="10" max="10" width="12.140625" style="36"/>
    <col min="11" max="24" width="12.140625" style="54"/>
    <col min="25" max="75" width="12.140625" style="54" hidden="1"/>
    <col min="76" max="76" width="57.28515625" style="54" hidden="1" customWidth="1"/>
    <col min="77" max="78" width="12.140625" style="54" hidden="1"/>
    <col min="79" max="16384" width="12.140625" style="54"/>
  </cols>
  <sheetData>
    <row r="1" spans="1:76" ht="54.75" customHeight="1" x14ac:dyDescent="0.25">
      <c r="A1" s="185" t="s">
        <v>96</v>
      </c>
      <c r="B1" s="185"/>
      <c r="C1" s="185"/>
      <c r="D1" s="185"/>
      <c r="E1" s="185"/>
      <c r="F1" s="185"/>
      <c r="G1" s="185"/>
      <c r="H1" s="48"/>
      <c r="I1" s="48"/>
      <c r="J1" s="48"/>
      <c r="K1" s="53"/>
      <c r="AS1" s="55">
        <f>SUM(AJ1:AJ2)</f>
        <v>0</v>
      </c>
      <c r="AT1" s="55">
        <f>SUM(AK1:AK2)</f>
        <v>0</v>
      </c>
      <c r="AU1" s="55">
        <f>SUM(AL1:AL2)</f>
        <v>0</v>
      </c>
    </row>
    <row r="2" spans="1:76" x14ac:dyDescent="0.25">
      <c r="A2" s="186" t="s">
        <v>1</v>
      </c>
      <c r="B2" s="187"/>
      <c r="C2" s="187"/>
      <c r="D2" s="182" t="s">
        <v>212</v>
      </c>
      <c r="E2" s="183"/>
      <c r="F2" s="187" t="s">
        <v>2</v>
      </c>
      <c r="G2" s="187"/>
      <c r="H2" s="177" t="s">
        <v>3</v>
      </c>
      <c r="I2" s="180" t="s">
        <v>4</v>
      </c>
      <c r="J2" s="49" t="s">
        <v>209</v>
      </c>
      <c r="K2" s="56"/>
    </row>
    <row r="3" spans="1:76" x14ac:dyDescent="0.25">
      <c r="A3" s="188"/>
      <c r="B3" s="165"/>
      <c r="C3" s="165"/>
      <c r="D3" s="184"/>
      <c r="E3" s="184"/>
      <c r="F3" s="165"/>
      <c r="G3" s="165"/>
      <c r="H3" s="178"/>
      <c r="I3" s="178"/>
      <c r="J3" s="50" t="s">
        <v>208</v>
      </c>
      <c r="K3" s="57"/>
    </row>
    <row r="4" spans="1:76" x14ac:dyDescent="0.25">
      <c r="A4" s="189" t="s">
        <v>5</v>
      </c>
      <c r="B4" s="165"/>
      <c r="C4" s="165"/>
      <c r="D4" s="164" t="s">
        <v>3</v>
      </c>
      <c r="E4" s="165"/>
      <c r="F4" s="165" t="s">
        <v>6</v>
      </c>
      <c r="G4" s="165"/>
      <c r="H4" s="178"/>
      <c r="I4" s="181" t="s">
        <v>8</v>
      </c>
      <c r="J4" s="50" t="s">
        <v>97</v>
      </c>
      <c r="K4" s="57"/>
    </row>
    <row r="5" spans="1:76" x14ac:dyDescent="0.25">
      <c r="A5" s="188"/>
      <c r="B5" s="165"/>
      <c r="C5" s="165"/>
      <c r="D5" s="165"/>
      <c r="E5" s="165"/>
      <c r="F5" s="165"/>
      <c r="G5" s="165"/>
      <c r="H5" s="178"/>
      <c r="I5" s="178"/>
      <c r="J5" s="50"/>
      <c r="K5" s="57"/>
    </row>
    <row r="6" spans="1:76" x14ac:dyDescent="0.25">
      <c r="A6" s="189" t="s">
        <v>9</v>
      </c>
      <c r="B6" s="165"/>
      <c r="C6" s="165"/>
      <c r="D6" s="164" t="s">
        <v>3</v>
      </c>
      <c r="E6" s="165"/>
      <c r="F6" s="165" t="s">
        <v>10</v>
      </c>
      <c r="G6" s="165"/>
      <c r="H6" s="178" t="s">
        <v>3</v>
      </c>
      <c r="I6" s="181" t="s">
        <v>11</v>
      </c>
      <c r="J6" s="50" t="s">
        <v>97</v>
      </c>
      <c r="K6" s="57"/>
    </row>
    <row r="7" spans="1:76" x14ac:dyDescent="0.25">
      <c r="A7" s="188"/>
      <c r="B7" s="165"/>
      <c r="C7" s="165"/>
      <c r="D7" s="165"/>
      <c r="E7" s="165"/>
      <c r="F7" s="165"/>
      <c r="G7" s="165"/>
      <c r="H7" s="178"/>
      <c r="I7" s="178"/>
      <c r="J7" s="50"/>
      <c r="K7" s="57"/>
    </row>
    <row r="8" spans="1:76" x14ac:dyDescent="0.25">
      <c r="A8" s="189" t="s">
        <v>40</v>
      </c>
      <c r="B8" s="165"/>
      <c r="C8" s="165"/>
      <c r="D8" s="164" t="s">
        <v>3</v>
      </c>
      <c r="E8" s="165"/>
      <c r="F8" s="165" t="s">
        <v>13</v>
      </c>
      <c r="G8" s="165"/>
      <c r="H8" s="178" t="s">
        <v>7</v>
      </c>
      <c r="I8" s="181" t="s">
        <v>12</v>
      </c>
      <c r="J8" s="50" t="s">
        <v>211</v>
      </c>
      <c r="K8" s="57"/>
    </row>
    <row r="9" spans="1:76" x14ac:dyDescent="0.25">
      <c r="A9" s="190"/>
      <c r="B9" s="176"/>
      <c r="C9" s="176"/>
      <c r="D9" s="176"/>
      <c r="E9" s="176"/>
      <c r="F9" s="176"/>
      <c r="G9" s="176"/>
      <c r="H9" s="179"/>
      <c r="I9" s="179"/>
      <c r="J9" s="51"/>
      <c r="K9" s="58"/>
    </row>
    <row r="10" spans="1:76" x14ac:dyDescent="0.25">
      <c r="A10" s="67" t="s">
        <v>98</v>
      </c>
      <c r="B10" s="68" t="s">
        <v>14</v>
      </c>
      <c r="C10" s="68" t="s">
        <v>15</v>
      </c>
      <c r="D10" s="174" t="s">
        <v>16</v>
      </c>
      <c r="E10" s="175"/>
      <c r="F10" s="68" t="s">
        <v>99</v>
      </c>
      <c r="G10" s="69" t="s">
        <v>100</v>
      </c>
      <c r="H10" s="38" t="s">
        <v>101</v>
      </c>
      <c r="I10" s="39" t="s">
        <v>102</v>
      </c>
      <c r="K10" s="59"/>
      <c r="BK10" s="60" t="s">
        <v>103</v>
      </c>
      <c r="BL10" s="61" t="s">
        <v>104</v>
      </c>
      <c r="BW10" s="61" t="s">
        <v>105</v>
      </c>
    </row>
    <row r="11" spans="1:76" x14ac:dyDescent="0.25">
      <c r="A11" s="70" t="s">
        <v>3</v>
      </c>
      <c r="B11" s="71" t="s">
        <v>3</v>
      </c>
      <c r="C11" s="71" t="s">
        <v>3</v>
      </c>
      <c r="D11" s="170" t="s">
        <v>106</v>
      </c>
      <c r="E11" s="171"/>
      <c r="F11" s="71" t="s">
        <v>3</v>
      </c>
      <c r="G11" s="71" t="s">
        <v>3</v>
      </c>
      <c r="H11" s="40" t="s">
        <v>107</v>
      </c>
      <c r="I11" s="41" t="s">
        <v>108</v>
      </c>
      <c r="K11" s="62"/>
      <c r="Z11" s="60" t="s">
        <v>109</v>
      </c>
      <c r="AA11" s="60" t="s">
        <v>110</v>
      </c>
      <c r="AB11" s="60" t="s">
        <v>111</v>
      </c>
      <c r="AC11" s="60" t="s">
        <v>112</v>
      </c>
      <c r="AD11" s="60" t="s">
        <v>113</v>
      </c>
      <c r="AE11" s="60" t="s">
        <v>114</v>
      </c>
      <c r="AF11" s="60" t="s">
        <v>115</v>
      </c>
      <c r="AG11" s="60" t="s">
        <v>116</v>
      </c>
      <c r="AH11" s="60" t="s">
        <v>117</v>
      </c>
      <c r="BH11" s="60" t="s">
        <v>118</v>
      </c>
      <c r="BI11" s="60" t="s">
        <v>119</v>
      </c>
      <c r="BJ11" s="60" t="s">
        <v>120</v>
      </c>
    </row>
    <row r="12" spans="1:76" x14ac:dyDescent="0.25">
      <c r="A12" s="72" t="s">
        <v>18</v>
      </c>
      <c r="B12" s="73" t="s">
        <v>18</v>
      </c>
      <c r="C12" s="73" t="s">
        <v>19</v>
      </c>
      <c r="D12" s="172" t="s">
        <v>20</v>
      </c>
      <c r="E12" s="173"/>
      <c r="F12" s="74" t="s">
        <v>3</v>
      </c>
      <c r="G12" s="74" t="s">
        <v>3</v>
      </c>
      <c r="H12" s="42" t="s">
        <v>3</v>
      </c>
      <c r="I12" s="43">
        <f>SUM(I13:I17)</f>
        <v>0</v>
      </c>
      <c r="K12" s="62"/>
      <c r="AI12" s="60" t="s">
        <v>18</v>
      </c>
      <c r="AS12" s="55">
        <f>SUM(AJ13:AJ17)</f>
        <v>0</v>
      </c>
      <c r="AT12" s="55">
        <f>SUM(AK13:AK17)</f>
        <v>0</v>
      </c>
      <c r="AU12" s="55">
        <f>SUM(AL13:AL17)</f>
        <v>0</v>
      </c>
    </row>
    <row r="13" spans="1:76" x14ac:dyDescent="0.25">
      <c r="A13" s="75" t="s">
        <v>121</v>
      </c>
      <c r="B13" s="76" t="s">
        <v>18</v>
      </c>
      <c r="C13" s="76" t="s">
        <v>122</v>
      </c>
      <c r="D13" s="164" t="s">
        <v>123</v>
      </c>
      <c r="E13" s="165"/>
      <c r="F13" s="76" t="s">
        <v>124</v>
      </c>
      <c r="G13" s="63">
        <v>1</v>
      </c>
      <c r="H13" s="44">
        <v>0</v>
      </c>
      <c r="I13" s="44">
        <f>ROUND(G13*H13,2)</f>
        <v>0</v>
      </c>
      <c r="K13" s="62"/>
      <c r="Z13" s="63">
        <f>ROUND(IF(AQ13="5",BJ13,0),2)</f>
        <v>0</v>
      </c>
      <c r="AB13" s="63">
        <f>ROUND(IF(AQ13="1",BH13,0),2)</f>
        <v>0</v>
      </c>
      <c r="AC13" s="63">
        <f>ROUND(IF(AQ13="1",BI13,0),2)</f>
        <v>0</v>
      </c>
      <c r="AD13" s="63">
        <f>ROUND(IF(AQ13="7",BH13,0),2)</f>
        <v>0</v>
      </c>
      <c r="AE13" s="63">
        <f>ROUND(IF(AQ13="7",BI13,0),2)</f>
        <v>0</v>
      </c>
      <c r="AF13" s="63">
        <f>ROUND(IF(AQ13="2",BH13,0),2)</f>
        <v>0</v>
      </c>
      <c r="AG13" s="63">
        <f>ROUND(IF(AQ13="2",BI13,0),2)</f>
        <v>0</v>
      </c>
      <c r="AH13" s="63">
        <f>ROUND(IF(AQ13="0",BJ13,0),2)</f>
        <v>0</v>
      </c>
      <c r="AI13" s="60" t="s">
        <v>18</v>
      </c>
      <c r="AJ13" s="63">
        <f>IF(AN13=0,I13,0)</f>
        <v>0</v>
      </c>
      <c r="AK13" s="63">
        <f>IF(AN13=12,I13,0)</f>
        <v>0</v>
      </c>
      <c r="AL13" s="63">
        <f>IF(AN13=21,I13,0)</f>
        <v>0</v>
      </c>
      <c r="AN13" s="63">
        <v>21</v>
      </c>
      <c r="AO13" s="63">
        <f>H13*0</f>
        <v>0</v>
      </c>
      <c r="AP13" s="63">
        <f>H13*(1-0)</f>
        <v>0</v>
      </c>
      <c r="AQ13" s="64" t="s">
        <v>121</v>
      </c>
      <c r="AV13" s="63">
        <f>ROUND(AW13+AX13,2)</f>
        <v>0</v>
      </c>
      <c r="AW13" s="63">
        <f>ROUND(G13*AO13,2)</f>
        <v>0</v>
      </c>
      <c r="AX13" s="63">
        <f>ROUND(G13*AP13,2)</f>
        <v>0</v>
      </c>
      <c r="AY13" s="64" t="s">
        <v>125</v>
      </c>
      <c r="AZ13" s="64" t="s">
        <v>126</v>
      </c>
      <c r="BA13" s="60" t="s">
        <v>127</v>
      </c>
      <c r="BC13" s="63">
        <f>AW13+AX13</f>
        <v>0</v>
      </c>
      <c r="BD13" s="63">
        <f>H13/(100-BE13)*100</f>
        <v>0</v>
      </c>
      <c r="BE13" s="63">
        <v>0</v>
      </c>
      <c r="BF13" s="63">
        <f>13</f>
        <v>13</v>
      </c>
      <c r="BH13" s="63">
        <f>G13*AO13</f>
        <v>0</v>
      </c>
      <c r="BI13" s="63">
        <f>G13*AP13</f>
        <v>0</v>
      </c>
      <c r="BJ13" s="63">
        <f>G13*H13</f>
        <v>0</v>
      </c>
      <c r="BK13" s="63"/>
      <c r="BL13" s="63">
        <v>0</v>
      </c>
      <c r="BW13" s="63">
        <v>21</v>
      </c>
      <c r="BX13" s="65" t="s">
        <v>123</v>
      </c>
    </row>
    <row r="14" spans="1:76" x14ac:dyDescent="0.25">
      <c r="A14" s="75" t="s">
        <v>128</v>
      </c>
      <c r="B14" s="76" t="s">
        <v>18</v>
      </c>
      <c r="C14" s="76" t="s">
        <v>129</v>
      </c>
      <c r="D14" s="164" t="s">
        <v>130</v>
      </c>
      <c r="E14" s="165"/>
      <c r="F14" s="76" t="s">
        <v>124</v>
      </c>
      <c r="G14" s="63">
        <v>1</v>
      </c>
      <c r="H14" s="44">
        <v>0</v>
      </c>
      <c r="I14" s="44">
        <f>ROUND(G14*H14,2)</f>
        <v>0</v>
      </c>
      <c r="K14" s="62"/>
      <c r="Z14" s="63">
        <f>ROUND(IF(AQ14="5",BJ14,0),2)</f>
        <v>0</v>
      </c>
      <c r="AB14" s="63">
        <f>ROUND(IF(AQ14="1",BH14,0),2)</f>
        <v>0</v>
      </c>
      <c r="AC14" s="63">
        <f>ROUND(IF(AQ14="1",BI14,0),2)</f>
        <v>0</v>
      </c>
      <c r="AD14" s="63">
        <f>ROUND(IF(AQ14="7",BH14,0),2)</f>
        <v>0</v>
      </c>
      <c r="AE14" s="63">
        <f>ROUND(IF(AQ14="7",BI14,0),2)</f>
        <v>0</v>
      </c>
      <c r="AF14" s="63">
        <f>ROUND(IF(AQ14="2",BH14,0),2)</f>
        <v>0</v>
      </c>
      <c r="AG14" s="63">
        <f>ROUND(IF(AQ14="2",BI14,0),2)</f>
        <v>0</v>
      </c>
      <c r="AH14" s="63">
        <f>ROUND(IF(AQ14="0",BJ14,0),2)</f>
        <v>0</v>
      </c>
      <c r="AI14" s="60" t="s">
        <v>18</v>
      </c>
      <c r="AJ14" s="63">
        <f>IF(AN14=0,I14,0)</f>
        <v>0</v>
      </c>
      <c r="AK14" s="63">
        <f>IF(AN14=12,I14,0)</f>
        <v>0</v>
      </c>
      <c r="AL14" s="63">
        <f>IF(AN14=21,I14,0)</f>
        <v>0</v>
      </c>
      <c r="AN14" s="63">
        <v>21</v>
      </c>
      <c r="AO14" s="63">
        <f>H14*0</f>
        <v>0</v>
      </c>
      <c r="AP14" s="63">
        <f>H14*(1-0)</f>
        <v>0</v>
      </c>
      <c r="AQ14" s="64" t="s">
        <v>121</v>
      </c>
      <c r="AV14" s="63">
        <f>ROUND(AW14+AX14,2)</f>
        <v>0</v>
      </c>
      <c r="AW14" s="63">
        <f>ROUND(G14*AO14,2)</f>
        <v>0</v>
      </c>
      <c r="AX14" s="63">
        <f>ROUND(G14*AP14,2)</f>
        <v>0</v>
      </c>
      <c r="AY14" s="64" t="s">
        <v>125</v>
      </c>
      <c r="AZ14" s="64" t="s">
        <v>126</v>
      </c>
      <c r="BA14" s="60" t="s">
        <v>127</v>
      </c>
      <c r="BC14" s="63">
        <f>AW14+AX14</f>
        <v>0</v>
      </c>
      <c r="BD14" s="63">
        <f>H14/(100-BE14)*100</f>
        <v>0</v>
      </c>
      <c r="BE14" s="63">
        <v>0</v>
      </c>
      <c r="BF14" s="63">
        <f>14</f>
        <v>14</v>
      </c>
      <c r="BH14" s="63">
        <f>G14*AO14</f>
        <v>0</v>
      </c>
      <c r="BI14" s="63">
        <f>G14*AP14</f>
        <v>0</v>
      </c>
      <c r="BJ14" s="63">
        <f>G14*H14</f>
        <v>0</v>
      </c>
      <c r="BK14" s="63"/>
      <c r="BL14" s="63">
        <v>0</v>
      </c>
      <c r="BW14" s="63">
        <v>21</v>
      </c>
      <c r="BX14" s="65" t="s">
        <v>130</v>
      </c>
    </row>
    <row r="15" spans="1:76" x14ac:dyDescent="0.25">
      <c r="A15" s="75" t="s">
        <v>131</v>
      </c>
      <c r="B15" s="76" t="s">
        <v>18</v>
      </c>
      <c r="C15" s="76" t="s">
        <v>132</v>
      </c>
      <c r="D15" s="164" t="s">
        <v>133</v>
      </c>
      <c r="E15" s="165"/>
      <c r="F15" s="76" t="s">
        <v>124</v>
      </c>
      <c r="G15" s="63">
        <v>1</v>
      </c>
      <c r="H15" s="44">
        <v>0</v>
      </c>
      <c r="I15" s="44">
        <f>ROUND(G15*H15,2)</f>
        <v>0</v>
      </c>
      <c r="K15" s="62"/>
      <c r="Z15" s="63">
        <f>ROUND(IF(AQ15="5",BJ15,0),2)</f>
        <v>0</v>
      </c>
      <c r="AB15" s="63">
        <f>ROUND(IF(AQ15="1",BH15,0),2)</f>
        <v>0</v>
      </c>
      <c r="AC15" s="63">
        <f>ROUND(IF(AQ15="1",BI15,0),2)</f>
        <v>0</v>
      </c>
      <c r="AD15" s="63">
        <f>ROUND(IF(AQ15="7",BH15,0),2)</f>
        <v>0</v>
      </c>
      <c r="AE15" s="63">
        <f>ROUND(IF(AQ15="7",BI15,0),2)</f>
        <v>0</v>
      </c>
      <c r="AF15" s="63">
        <f>ROUND(IF(AQ15="2",BH15,0),2)</f>
        <v>0</v>
      </c>
      <c r="AG15" s="63">
        <f>ROUND(IF(AQ15="2",BI15,0),2)</f>
        <v>0</v>
      </c>
      <c r="AH15" s="63">
        <f>ROUND(IF(AQ15="0",BJ15,0),2)</f>
        <v>0</v>
      </c>
      <c r="AI15" s="60" t="s">
        <v>18</v>
      </c>
      <c r="AJ15" s="63">
        <f>IF(AN15=0,I15,0)</f>
        <v>0</v>
      </c>
      <c r="AK15" s="63">
        <f>IF(AN15=12,I15,0)</f>
        <v>0</v>
      </c>
      <c r="AL15" s="63">
        <f>IF(AN15=21,I15,0)</f>
        <v>0</v>
      </c>
      <c r="AN15" s="63">
        <v>21</v>
      </c>
      <c r="AO15" s="63">
        <f>H15*0</f>
        <v>0</v>
      </c>
      <c r="AP15" s="63">
        <f>H15*(1-0)</f>
        <v>0</v>
      </c>
      <c r="AQ15" s="64" t="s">
        <v>121</v>
      </c>
      <c r="AV15" s="63">
        <f>ROUND(AW15+AX15,2)</f>
        <v>0</v>
      </c>
      <c r="AW15" s="63">
        <f>ROUND(G15*AO15,2)</f>
        <v>0</v>
      </c>
      <c r="AX15" s="63">
        <f>ROUND(G15*AP15,2)</f>
        <v>0</v>
      </c>
      <c r="AY15" s="64" t="s">
        <v>125</v>
      </c>
      <c r="AZ15" s="64" t="s">
        <v>126</v>
      </c>
      <c r="BA15" s="60" t="s">
        <v>127</v>
      </c>
      <c r="BC15" s="63">
        <f>AW15+AX15</f>
        <v>0</v>
      </c>
      <c r="BD15" s="63">
        <f>H15/(100-BE15)*100</f>
        <v>0</v>
      </c>
      <c r="BE15" s="63">
        <v>0</v>
      </c>
      <c r="BF15" s="63">
        <f>15</f>
        <v>15</v>
      </c>
      <c r="BH15" s="63">
        <f>G15*AO15</f>
        <v>0</v>
      </c>
      <c r="BI15" s="63">
        <f>G15*AP15</f>
        <v>0</v>
      </c>
      <c r="BJ15" s="63">
        <f>G15*H15</f>
        <v>0</v>
      </c>
      <c r="BK15" s="63"/>
      <c r="BL15" s="63">
        <v>0</v>
      </c>
      <c r="BW15" s="63">
        <v>21</v>
      </c>
      <c r="BX15" s="65" t="s">
        <v>133</v>
      </c>
    </row>
    <row r="16" spans="1:76" x14ac:dyDescent="0.25">
      <c r="A16" s="75" t="s">
        <v>134</v>
      </c>
      <c r="B16" s="76" t="s">
        <v>18</v>
      </c>
      <c r="C16" s="76" t="s">
        <v>135</v>
      </c>
      <c r="D16" s="164" t="s">
        <v>136</v>
      </c>
      <c r="E16" s="165"/>
      <c r="F16" s="76" t="s">
        <v>124</v>
      </c>
      <c r="G16" s="63">
        <v>1</v>
      </c>
      <c r="H16" s="44">
        <v>0</v>
      </c>
      <c r="I16" s="44">
        <f>ROUND(G16*H16,2)</f>
        <v>0</v>
      </c>
      <c r="K16" s="62"/>
      <c r="Z16" s="63">
        <f>ROUND(IF(AQ16="5",BJ16,0),2)</f>
        <v>0</v>
      </c>
      <c r="AB16" s="63">
        <f>ROUND(IF(AQ16="1",BH16,0),2)</f>
        <v>0</v>
      </c>
      <c r="AC16" s="63">
        <f>ROUND(IF(AQ16="1",BI16,0),2)</f>
        <v>0</v>
      </c>
      <c r="AD16" s="63">
        <f>ROUND(IF(AQ16="7",BH16,0),2)</f>
        <v>0</v>
      </c>
      <c r="AE16" s="63">
        <f>ROUND(IF(AQ16="7",BI16,0),2)</f>
        <v>0</v>
      </c>
      <c r="AF16" s="63">
        <f>ROUND(IF(AQ16="2",BH16,0),2)</f>
        <v>0</v>
      </c>
      <c r="AG16" s="63">
        <f>ROUND(IF(AQ16="2",BI16,0),2)</f>
        <v>0</v>
      </c>
      <c r="AH16" s="63">
        <f>ROUND(IF(AQ16="0",BJ16,0),2)</f>
        <v>0</v>
      </c>
      <c r="AI16" s="60" t="s">
        <v>18</v>
      </c>
      <c r="AJ16" s="63">
        <f>IF(AN16=0,I16,0)</f>
        <v>0</v>
      </c>
      <c r="AK16" s="63">
        <f>IF(AN16=12,I16,0)</f>
        <v>0</v>
      </c>
      <c r="AL16" s="63">
        <f>IF(AN16=21,I16,0)</f>
        <v>0</v>
      </c>
      <c r="AN16" s="63">
        <v>21</v>
      </c>
      <c r="AO16" s="63">
        <f>H16*0</f>
        <v>0</v>
      </c>
      <c r="AP16" s="63">
        <f>H16*(1-0)</f>
        <v>0</v>
      </c>
      <c r="AQ16" s="64" t="s">
        <v>121</v>
      </c>
      <c r="AV16" s="63">
        <f>ROUND(AW16+AX16,2)</f>
        <v>0</v>
      </c>
      <c r="AW16" s="63">
        <f>ROUND(G16*AO16,2)</f>
        <v>0</v>
      </c>
      <c r="AX16" s="63">
        <f>ROUND(G16*AP16,2)</f>
        <v>0</v>
      </c>
      <c r="AY16" s="64" t="s">
        <v>125</v>
      </c>
      <c r="AZ16" s="64" t="s">
        <v>126</v>
      </c>
      <c r="BA16" s="60" t="s">
        <v>127</v>
      </c>
      <c r="BC16" s="63">
        <f>AW16+AX16</f>
        <v>0</v>
      </c>
      <c r="BD16" s="63">
        <f>H16/(100-BE16)*100</f>
        <v>0</v>
      </c>
      <c r="BE16" s="63">
        <v>0</v>
      </c>
      <c r="BF16" s="63">
        <f>16</f>
        <v>16</v>
      </c>
      <c r="BH16" s="63">
        <f>G16*AO16</f>
        <v>0</v>
      </c>
      <c r="BI16" s="63">
        <f>G16*AP16</f>
        <v>0</v>
      </c>
      <c r="BJ16" s="63">
        <f>G16*H16</f>
        <v>0</v>
      </c>
      <c r="BK16" s="63"/>
      <c r="BL16" s="63">
        <v>0</v>
      </c>
      <c r="BW16" s="63">
        <v>21</v>
      </c>
      <c r="BX16" s="65" t="s">
        <v>136</v>
      </c>
    </row>
    <row r="17" spans="1:76" x14ac:dyDescent="0.25">
      <c r="A17" s="75" t="s">
        <v>137</v>
      </c>
      <c r="B17" s="76" t="s">
        <v>18</v>
      </c>
      <c r="C17" s="76" t="s">
        <v>138</v>
      </c>
      <c r="D17" s="164" t="s">
        <v>52</v>
      </c>
      <c r="E17" s="165"/>
      <c r="F17" s="76" t="s">
        <v>124</v>
      </c>
      <c r="G17" s="63">
        <v>1</v>
      </c>
      <c r="H17" s="44">
        <v>0</v>
      </c>
      <c r="I17" s="44">
        <f>ROUND(G17*H17,2)</f>
        <v>0</v>
      </c>
      <c r="K17" s="62"/>
      <c r="Z17" s="63">
        <f>ROUND(IF(AQ17="5",BJ17,0),2)</f>
        <v>0</v>
      </c>
      <c r="AB17" s="63">
        <f>ROUND(IF(AQ17="1",BH17,0),2)</f>
        <v>0</v>
      </c>
      <c r="AC17" s="63">
        <f>ROUND(IF(AQ17="1",BI17,0),2)</f>
        <v>0</v>
      </c>
      <c r="AD17" s="63">
        <f>ROUND(IF(AQ17="7",BH17,0),2)</f>
        <v>0</v>
      </c>
      <c r="AE17" s="63">
        <f>ROUND(IF(AQ17="7",BI17,0),2)</f>
        <v>0</v>
      </c>
      <c r="AF17" s="63">
        <f>ROUND(IF(AQ17="2",BH17,0),2)</f>
        <v>0</v>
      </c>
      <c r="AG17" s="63">
        <f>ROUND(IF(AQ17="2",BI17,0),2)</f>
        <v>0</v>
      </c>
      <c r="AH17" s="63">
        <f>ROUND(IF(AQ17="0",BJ17,0),2)</f>
        <v>0</v>
      </c>
      <c r="AI17" s="60" t="s">
        <v>18</v>
      </c>
      <c r="AJ17" s="63">
        <f>IF(AN17=0,I17,0)</f>
        <v>0</v>
      </c>
      <c r="AK17" s="63">
        <f>IF(AN17=12,I17,0)</f>
        <v>0</v>
      </c>
      <c r="AL17" s="63">
        <f>IF(AN17=21,I17,0)</f>
        <v>0</v>
      </c>
      <c r="AN17" s="63">
        <v>21</v>
      </c>
      <c r="AO17" s="63">
        <f>H17*0</f>
        <v>0</v>
      </c>
      <c r="AP17" s="63">
        <f>H17*(1-0)</f>
        <v>0</v>
      </c>
      <c r="AQ17" s="64" t="s">
        <v>121</v>
      </c>
      <c r="AV17" s="63">
        <f>ROUND(AW17+AX17,2)</f>
        <v>0</v>
      </c>
      <c r="AW17" s="63">
        <f>ROUND(G17*AO17,2)</f>
        <v>0</v>
      </c>
      <c r="AX17" s="63">
        <f>ROUND(G17*AP17,2)</f>
        <v>0</v>
      </c>
      <c r="AY17" s="64" t="s">
        <v>125</v>
      </c>
      <c r="AZ17" s="64" t="s">
        <v>126</v>
      </c>
      <c r="BA17" s="60" t="s">
        <v>127</v>
      </c>
      <c r="BC17" s="63">
        <f>AW17+AX17</f>
        <v>0</v>
      </c>
      <c r="BD17" s="63">
        <f>H17/(100-BE17)*100</f>
        <v>0</v>
      </c>
      <c r="BE17" s="63">
        <v>0</v>
      </c>
      <c r="BF17" s="63">
        <f>17</f>
        <v>17</v>
      </c>
      <c r="BH17" s="63">
        <f>G17*AO17</f>
        <v>0</v>
      </c>
      <c r="BI17" s="63">
        <f>G17*AP17</f>
        <v>0</v>
      </c>
      <c r="BJ17" s="63">
        <f>G17*H17</f>
        <v>0</v>
      </c>
      <c r="BK17" s="63"/>
      <c r="BL17" s="63">
        <v>0</v>
      </c>
      <c r="BW17" s="63">
        <v>21</v>
      </c>
      <c r="BX17" s="65" t="s">
        <v>52</v>
      </c>
    </row>
    <row r="18" spans="1:76" x14ac:dyDescent="0.25">
      <c r="A18" s="77" t="s">
        <v>18</v>
      </c>
      <c r="B18" s="78" t="s">
        <v>18</v>
      </c>
      <c r="C18" s="78" t="s">
        <v>22</v>
      </c>
      <c r="D18" s="168" t="s">
        <v>23</v>
      </c>
      <c r="E18" s="169"/>
      <c r="F18" s="79" t="s">
        <v>3</v>
      </c>
      <c r="G18" s="79" t="s">
        <v>3</v>
      </c>
      <c r="H18" s="45" t="s">
        <v>3</v>
      </c>
      <c r="I18" s="37">
        <f>SUM(I19:I25)</f>
        <v>0</v>
      </c>
      <c r="K18" s="62"/>
      <c r="AI18" s="60" t="s">
        <v>18</v>
      </c>
      <c r="AS18" s="55">
        <f>SUM(AJ19:AJ25)</f>
        <v>0</v>
      </c>
      <c r="AT18" s="55">
        <f>SUM(AK19:AK25)</f>
        <v>0</v>
      </c>
      <c r="AU18" s="55">
        <f>SUM(AL19:AL25)</f>
        <v>0</v>
      </c>
    </row>
    <row r="19" spans="1:76" x14ac:dyDescent="0.25">
      <c r="A19" s="75" t="s">
        <v>139</v>
      </c>
      <c r="B19" s="76" t="s">
        <v>18</v>
      </c>
      <c r="C19" s="76" t="s">
        <v>140</v>
      </c>
      <c r="D19" s="164" t="s">
        <v>141</v>
      </c>
      <c r="E19" s="165"/>
      <c r="F19" s="76" t="s">
        <v>142</v>
      </c>
      <c r="G19" s="63">
        <v>371.5</v>
      </c>
      <c r="H19" s="44">
        <v>0</v>
      </c>
      <c r="I19" s="44">
        <f>ROUND(G19*H19,2)</f>
        <v>0</v>
      </c>
      <c r="K19" s="62"/>
      <c r="Z19" s="63">
        <f>ROUND(IF(AQ19="5",BJ19,0),2)</f>
        <v>0</v>
      </c>
      <c r="AB19" s="63">
        <f>ROUND(IF(AQ19="1",BH19,0),2)</f>
        <v>0</v>
      </c>
      <c r="AC19" s="63">
        <f>ROUND(IF(AQ19="1",BI19,0),2)</f>
        <v>0</v>
      </c>
      <c r="AD19" s="63">
        <f>ROUND(IF(AQ19="7",BH19,0),2)</f>
        <v>0</v>
      </c>
      <c r="AE19" s="63">
        <f>ROUND(IF(AQ19="7",BI19,0),2)</f>
        <v>0</v>
      </c>
      <c r="AF19" s="63">
        <f>ROUND(IF(AQ19="2",BH19,0),2)</f>
        <v>0</v>
      </c>
      <c r="AG19" s="63">
        <f>ROUND(IF(AQ19="2",BI19,0),2)</f>
        <v>0</v>
      </c>
      <c r="AH19" s="63">
        <f>ROUND(IF(AQ19="0",BJ19,0),2)</f>
        <v>0</v>
      </c>
      <c r="AI19" s="60" t="s">
        <v>18</v>
      </c>
      <c r="AJ19" s="63">
        <f>IF(AN19=0,I19,0)</f>
        <v>0</v>
      </c>
      <c r="AK19" s="63">
        <f>IF(AN19=12,I19,0)</f>
        <v>0</v>
      </c>
      <c r="AL19" s="63">
        <f>IF(AN19=21,I19,0)</f>
        <v>0</v>
      </c>
      <c r="AN19" s="63">
        <v>21</v>
      </c>
      <c r="AO19" s="63">
        <f>H19*0</f>
        <v>0</v>
      </c>
      <c r="AP19" s="63">
        <f>H19*(1-0)</f>
        <v>0</v>
      </c>
      <c r="AQ19" s="64" t="s">
        <v>121</v>
      </c>
      <c r="AV19" s="63">
        <f>ROUND(AW19+AX19,2)</f>
        <v>0</v>
      </c>
      <c r="AW19" s="63">
        <f>ROUND(G19*AO19,2)</f>
        <v>0</v>
      </c>
      <c r="AX19" s="63">
        <f>ROUND(G19*AP19,2)</f>
        <v>0</v>
      </c>
      <c r="AY19" s="64" t="s">
        <v>143</v>
      </c>
      <c r="AZ19" s="64" t="s">
        <v>144</v>
      </c>
      <c r="BA19" s="60" t="s">
        <v>127</v>
      </c>
      <c r="BC19" s="63">
        <f>AW19+AX19</f>
        <v>0</v>
      </c>
      <c r="BD19" s="63">
        <f>H19/(100-BE19)*100</f>
        <v>0</v>
      </c>
      <c r="BE19" s="63">
        <v>0</v>
      </c>
      <c r="BF19" s="63">
        <f>19</f>
        <v>19</v>
      </c>
      <c r="BH19" s="63">
        <f>G19*AO19</f>
        <v>0</v>
      </c>
      <c r="BI19" s="63">
        <f>G19*AP19</f>
        <v>0</v>
      </c>
      <c r="BJ19" s="63">
        <f>G19*H19</f>
        <v>0</v>
      </c>
      <c r="BK19" s="63"/>
      <c r="BL19" s="63">
        <v>11</v>
      </c>
      <c r="BW19" s="63">
        <v>21</v>
      </c>
      <c r="BX19" s="65" t="s">
        <v>141</v>
      </c>
    </row>
    <row r="20" spans="1:76" x14ac:dyDescent="0.25">
      <c r="A20" s="80"/>
      <c r="D20" s="81" t="s">
        <v>145</v>
      </c>
      <c r="E20" s="81" t="s">
        <v>18</v>
      </c>
      <c r="G20" s="82">
        <v>357.5</v>
      </c>
      <c r="K20" s="62"/>
    </row>
    <row r="21" spans="1:76" x14ac:dyDescent="0.25">
      <c r="A21" s="80"/>
      <c r="D21" s="81" t="s">
        <v>146</v>
      </c>
      <c r="E21" s="81" t="s">
        <v>18</v>
      </c>
      <c r="G21" s="82">
        <v>9</v>
      </c>
      <c r="K21" s="62"/>
    </row>
    <row r="22" spans="1:76" x14ac:dyDescent="0.25">
      <c r="A22" s="80"/>
      <c r="D22" s="81" t="s">
        <v>147</v>
      </c>
      <c r="E22" s="81" t="s">
        <v>18</v>
      </c>
      <c r="G22" s="82">
        <v>5</v>
      </c>
      <c r="K22" s="62"/>
    </row>
    <row r="23" spans="1:76" x14ac:dyDescent="0.25">
      <c r="A23" s="75" t="s">
        <v>148</v>
      </c>
      <c r="B23" s="76" t="s">
        <v>18</v>
      </c>
      <c r="C23" s="76" t="s">
        <v>149</v>
      </c>
      <c r="D23" s="164" t="s">
        <v>150</v>
      </c>
      <c r="E23" s="165"/>
      <c r="F23" s="76" t="s">
        <v>151</v>
      </c>
      <c r="G23" s="63">
        <v>4.2</v>
      </c>
      <c r="H23" s="44">
        <v>0</v>
      </c>
      <c r="I23" s="44">
        <f>ROUND(G23*H23,2)</f>
        <v>0</v>
      </c>
      <c r="K23" s="62"/>
      <c r="Z23" s="63">
        <f>ROUND(IF(AQ23="5",BJ23,0),2)</f>
        <v>0</v>
      </c>
      <c r="AB23" s="63">
        <f>ROUND(IF(AQ23="1",BH23,0),2)</f>
        <v>0</v>
      </c>
      <c r="AC23" s="63">
        <f>ROUND(IF(AQ23="1",BI23,0),2)</f>
        <v>0</v>
      </c>
      <c r="AD23" s="63">
        <f>ROUND(IF(AQ23="7",BH23,0),2)</f>
        <v>0</v>
      </c>
      <c r="AE23" s="63">
        <f>ROUND(IF(AQ23="7",BI23,0),2)</f>
        <v>0</v>
      </c>
      <c r="AF23" s="63">
        <f>ROUND(IF(AQ23="2",BH23,0),2)</f>
        <v>0</v>
      </c>
      <c r="AG23" s="63">
        <f>ROUND(IF(AQ23="2",BI23,0),2)</f>
        <v>0</v>
      </c>
      <c r="AH23" s="63">
        <f>ROUND(IF(AQ23="0",BJ23,0),2)</f>
        <v>0</v>
      </c>
      <c r="AI23" s="60" t="s">
        <v>18</v>
      </c>
      <c r="AJ23" s="63">
        <f>IF(AN23=0,I23,0)</f>
        <v>0</v>
      </c>
      <c r="AK23" s="63">
        <f>IF(AN23=12,I23,0)</f>
        <v>0</v>
      </c>
      <c r="AL23" s="63">
        <f>IF(AN23=21,I23,0)</f>
        <v>0</v>
      </c>
      <c r="AN23" s="63">
        <v>21</v>
      </c>
      <c r="AO23" s="63">
        <f>H23*0</f>
        <v>0</v>
      </c>
      <c r="AP23" s="63">
        <f>H23*(1-0)</f>
        <v>0</v>
      </c>
      <c r="AQ23" s="64" t="s">
        <v>121</v>
      </c>
      <c r="AV23" s="63">
        <f>ROUND(AW23+AX23,2)</f>
        <v>0</v>
      </c>
      <c r="AW23" s="63">
        <f>ROUND(G23*AO23,2)</f>
        <v>0</v>
      </c>
      <c r="AX23" s="63">
        <f>ROUND(G23*AP23,2)</f>
        <v>0</v>
      </c>
      <c r="AY23" s="64" t="s">
        <v>143</v>
      </c>
      <c r="AZ23" s="64" t="s">
        <v>144</v>
      </c>
      <c r="BA23" s="60" t="s">
        <v>127</v>
      </c>
      <c r="BC23" s="63">
        <f>AW23+AX23</f>
        <v>0</v>
      </c>
      <c r="BD23" s="63">
        <f>H23/(100-BE23)*100</f>
        <v>0</v>
      </c>
      <c r="BE23" s="63">
        <v>0</v>
      </c>
      <c r="BF23" s="63">
        <f>23</f>
        <v>23</v>
      </c>
      <c r="BH23" s="63">
        <f>G23*AO23</f>
        <v>0</v>
      </c>
      <c r="BI23" s="63">
        <f>G23*AP23</f>
        <v>0</v>
      </c>
      <c r="BJ23" s="63">
        <f>G23*H23</f>
        <v>0</v>
      </c>
      <c r="BK23" s="63"/>
      <c r="BL23" s="63">
        <v>11</v>
      </c>
      <c r="BW23" s="63">
        <v>21</v>
      </c>
      <c r="BX23" s="65" t="s">
        <v>150</v>
      </c>
    </row>
    <row r="24" spans="1:76" x14ac:dyDescent="0.25">
      <c r="A24" s="80"/>
      <c r="D24" s="81" t="s">
        <v>152</v>
      </c>
      <c r="E24" s="81" t="s">
        <v>18</v>
      </c>
      <c r="G24" s="82">
        <v>4.2</v>
      </c>
      <c r="K24" s="62"/>
    </row>
    <row r="25" spans="1:76" x14ac:dyDescent="0.25">
      <c r="A25" s="75" t="s">
        <v>153</v>
      </c>
      <c r="B25" s="76" t="s">
        <v>18</v>
      </c>
      <c r="C25" s="76" t="s">
        <v>154</v>
      </c>
      <c r="D25" s="164" t="s">
        <v>155</v>
      </c>
      <c r="E25" s="165"/>
      <c r="F25" s="76" t="s">
        <v>142</v>
      </c>
      <c r="G25" s="63">
        <v>1.6</v>
      </c>
      <c r="H25" s="44">
        <v>0</v>
      </c>
      <c r="I25" s="44">
        <f>ROUND(G25*H25,2)</f>
        <v>0</v>
      </c>
      <c r="K25" s="62"/>
      <c r="Z25" s="63">
        <f>ROUND(IF(AQ25="5",BJ25,0),2)</f>
        <v>0</v>
      </c>
      <c r="AB25" s="63">
        <f>ROUND(IF(AQ25="1",BH25,0),2)</f>
        <v>0</v>
      </c>
      <c r="AC25" s="63">
        <f>ROUND(IF(AQ25="1",BI25,0),2)</f>
        <v>0</v>
      </c>
      <c r="AD25" s="63">
        <f>ROUND(IF(AQ25="7",BH25,0),2)</f>
        <v>0</v>
      </c>
      <c r="AE25" s="63">
        <f>ROUND(IF(AQ25="7",BI25,0),2)</f>
        <v>0</v>
      </c>
      <c r="AF25" s="63">
        <f>ROUND(IF(AQ25="2",BH25,0),2)</f>
        <v>0</v>
      </c>
      <c r="AG25" s="63">
        <f>ROUND(IF(AQ25="2",BI25,0),2)</f>
        <v>0</v>
      </c>
      <c r="AH25" s="63">
        <f>ROUND(IF(AQ25="0",BJ25,0),2)</f>
        <v>0</v>
      </c>
      <c r="AI25" s="60" t="s">
        <v>18</v>
      </c>
      <c r="AJ25" s="63">
        <f>IF(AN25=0,I25,0)</f>
        <v>0</v>
      </c>
      <c r="AK25" s="63">
        <f>IF(AN25=12,I25,0)</f>
        <v>0</v>
      </c>
      <c r="AL25" s="63">
        <f>IF(AN25=21,I25,0)</f>
        <v>0</v>
      </c>
      <c r="AN25" s="63">
        <v>21</v>
      </c>
      <c r="AO25" s="63">
        <f>H25*0</f>
        <v>0</v>
      </c>
      <c r="AP25" s="63">
        <f>H25*(1-0)</f>
        <v>0</v>
      </c>
      <c r="AQ25" s="64" t="s">
        <v>121</v>
      </c>
      <c r="AV25" s="63">
        <f>ROUND(AW25+AX25,2)</f>
        <v>0</v>
      </c>
      <c r="AW25" s="63">
        <f>ROUND(G25*AO25,2)</f>
        <v>0</v>
      </c>
      <c r="AX25" s="63">
        <f>ROUND(G25*AP25,2)</f>
        <v>0</v>
      </c>
      <c r="AY25" s="64" t="s">
        <v>143</v>
      </c>
      <c r="AZ25" s="64" t="s">
        <v>144</v>
      </c>
      <c r="BA25" s="60" t="s">
        <v>127</v>
      </c>
      <c r="BC25" s="63">
        <f>AW25+AX25</f>
        <v>0</v>
      </c>
      <c r="BD25" s="63">
        <f>H25/(100-BE25)*100</f>
        <v>0</v>
      </c>
      <c r="BE25" s="63">
        <v>0</v>
      </c>
      <c r="BF25" s="63">
        <f>25</f>
        <v>25</v>
      </c>
      <c r="BH25" s="63">
        <f>G25*AO25</f>
        <v>0</v>
      </c>
      <c r="BI25" s="63">
        <f>G25*AP25</f>
        <v>0</v>
      </c>
      <c r="BJ25" s="63">
        <f>G25*H25</f>
        <v>0</v>
      </c>
      <c r="BK25" s="63"/>
      <c r="BL25" s="63">
        <v>11</v>
      </c>
      <c r="BW25" s="63">
        <v>21</v>
      </c>
      <c r="BX25" s="65" t="s">
        <v>155</v>
      </c>
    </row>
    <row r="26" spans="1:76" x14ac:dyDescent="0.25">
      <c r="A26" s="80"/>
      <c r="D26" s="81" t="s">
        <v>156</v>
      </c>
      <c r="E26" s="81" t="s">
        <v>18</v>
      </c>
      <c r="G26" s="82">
        <v>1.6</v>
      </c>
      <c r="K26" s="62"/>
    </row>
    <row r="27" spans="1:76" x14ac:dyDescent="0.25">
      <c r="A27" s="77" t="s">
        <v>18</v>
      </c>
      <c r="B27" s="78" t="s">
        <v>18</v>
      </c>
      <c r="C27" s="78" t="s">
        <v>24</v>
      </c>
      <c r="D27" s="168" t="s">
        <v>25</v>
      </c>
      <c r="E27" s="169"/>
      <c r="F27" s="79" t="s">
        <v>3</v>
      </c>
      <c r="G27" s="79" t="s">
        <v>3</v>
      </c>
      <c r="H27" s="45" t="s">
        <v>3</v>
      </c>
      <c r="I27" s="37">
        <f>SUM(I28:I28)</f>
        <v>0</v>
      </c>
      <c r="K27" s="62"/>
      <c r="AI27" s="60" t="s">
        <v>18</v>
      </c>
      <c r="AS27" s="55">
        <f>SUM(AJ28:AJ28)</f>
        <v>0</v>
      </c>
      <c r="AT27" s="55">
        <f>SUM(AK28:AK28)</f>
        <v>0</v>
      </c>
      <c r="AU27" s="55">
        <f>SUM(AL28:AL28)</f>
        <v>0</v>
      </c>
    </row>
    <row r="28" spans="1:76" x14ac:dyDescent="0.25">
      <c r="A28" s="75" t="s">
        <v>157</v>
      </c>
      <c r="B28" s="76" t="s">
        <v>18</v>
      </c>
      <c r="C28" s="76" t="s">
        <v>158</v>
      </c>
      <c r="D28" s="164" t="s">
        <v>159</v>
      </c>
      <c r="E28" s="165"/>
      <c r="F28" s="76" t="s">
        <v>142</v>
      </c>
      <c r="G28" s="63">
        <v>371.5</v>
      </c>
      <c r="H28" s="44">
        <v>0</v>
      </c>
      <c r="I28" s="44">
        <f>ROUND(G28*H28,2)</f>
        <v>0</v>
      </c>
      <c r="K28" s="62"/>
      <c r="Z28" s="63">
        <f>ROUND(IF(AQ28="5",BJ28,0),2)</f>
        <v>0</v>
      </c>
      <c r="AB28" s="63">
        <f>ROUND(IF(AQ28="1",BH28,0),2)</f>
        <v>0</v>
      </c>
      <c r="AC28" s="63">
        <f>ROUND(IF(AQ28="1",BI28,0),2)</f>
        <v>0</v>
      </c>
      <c r="AD28" s="63">
        <f>ROUND(IF(AQ28="7",BH28,0),2)</f>
        <v>0</v>
      </c>
      <c r="AE28" s="63">
        <f>ROUND(IF(AQ28="7",BI28,0),2)</f>
        <v>0</v>
      </c>
      <c r="AF28" s="63">
        <f>ROUND(IF(AQ28="2",BH28,0),2)</f>
        <v>0</v>
      </c>
      <c r="AG28" s="63">
        <f>ROUND(IF(AQ28="2",BI28,0),2)</f>
        <v>0</v>
      </c>
      <c r="AH28" s="63">
        <f>ROUND(IF(AQ28="0",BJ28,0),2)</f>
        <v>0</v>
      </c>
      <c r="AI28" s="60" t="s">
        <v>18</v>
      </c>
      <c r="AJ28" s="63">
        <f>IF(AN28=0,I28,0)</f>
        <v>0</v>
      </c>
      <c r="AK28" s="63">
        <f>IF(AN28=12,I28,0)</f>
        <v>0</v>
      </c>
      <c r="AL28" s="63">
        <f>IF(AN28=21,I28,0)</f>
        <v>0</v>
      </c>
      <c r="AN28" s="63">
        <v>21</v>
      </c>
      <c r="AO28" s="63">
        <f>H28*0</f>
        <v>0</v>
      </c>
      <c r="AP28" s="63">
        <f>H28*(1-0)</f>
        <v>0</v>
      </c>
      <c r="AQ28" s="64" t="s">
        <v>121</v>
      </c>
      <c r="AV28" s="63">
        <f>ROUND(AW28+AX28,2)</f>
        <v>0</v>
      </c>
      <c r="AW28" s="63">
        <f>ROUND(G28*AO28,2)</f>
        <v>0</v>
      </c>
      <c r="AX28" s="63">
        <f>ROUND(G28*AP28,2)</f>
        <v>0</v>
      </c>
      <c r="AY28" s="64" t="s">
        <v>160</v>
      </c>
      <c r="AZ28" s="64" t="s">
        <v>144</v>
      </c>
      <c r="BA28" s="60" t="s">
        <v>127</v>
      </c>
      <c r="BC28" s="63">
        <f>AW28+AX28</f>
        <v>0</v>
      </c>
      <c r="BD28" s="63">
        <f>H28/(100-BE28)*100</f>
        <v>0</v>
      </c>
      <c r="BE28" s="63">
        <v>0</v>
      </c>
      <c r="BF28" s="63">
        <f>28</f>
        <v>28</v>
      </c>
      <c r="BH28" s="63">
        <f>G28*AO28</f>
        <v>0</v>
      </c>
      <c r="BI28" s="63">
        <f>G28*AP28</f>
        <v>0</v>
      </c>
      <c r="BJ28" s="63">
        <f>G28*H28</f>
        <v>0</v>
      </c>
      <c r="BK28" s="63"/>
      <c r="BL28" s="63">
        <v>18</v>
      </c>
      <c r="BW28" s="63">
        <v>21</v>
      </c>
      <c r="BX28" s="65" t="s">
        <v>159</v>
      </c>
    </row>
    <row r="29" spans="1:76" ht="20.25" customHeight="1" x14ac:dyDescent="0.25">
      <c r="A29" s="77" t="s">
        <v>18</v>
      </c>
      <c r="B29" s="78" t="s">
        <v>18</v>
      </c>
      <c r="C29" s="78" t="s">
        <v>26</v>
      </c>
      <c r="D29" s="168" t="s">
        <v>27</v>
      </c>
      <c r="E29" s="169"/>
      <c r="F29" s="79" t="s">
        <v>3</v>
      </c>
      <c r="G29" s="79" t="s">
        <v>3</v>
      </c>
      <c r="H29" s="45" t="s">
        <v>3</v>
      </c>
      <c r="I29" s="37">
        <f>SUM(I30:I32)</f>
        <v>0</v>
      </c>
      <c r="K29" s="62"/>
      <c r="AI29" s="60" t="s">
        <v>18</v>
      </c>
      <c r="AS29" s="55">
        <f>SUM(AJ30:AJ32)</f>
        <v>0</v>
      </c>
      <c r="AT29" s="55">
        <f>SUM(AK30:AK32)</f>
        <v>0</v>
      </c>
      <c r="AU29" s="55">
        <f>SUM(AL30:AL32)</f>
        <v>0</v>
      </c>
    </row>
    <row r="30" spans="1:76" x14ac:dyDescent="0.25">
      <c r="A30" s="75" t="s">
        <v>161</v>
      </c>
      <c r="B30" s="76" t="s">
        <v>18</v>
      </c>
      <c r="C30" s="76" t="s">
        <v>162</v>
      </c>
      <c r="D30" s="164" t="s">
        <v>163</v>
      </c>
      <c r="E30" s="165"/>
      <c r="F30" s="76" t="s">
        <v>142</v>
      </c>
      <c r="G30" s="63">
        <v>371.5</v>
      </c>
      <c r="H30" s="44">
        <v>0</v>
      </c>
      <c r="I30" s="44">
        <f>ROUND(G30*H30,2)</f>
        <v>0</v>
      </c>
      <c r="K30" s="62"/>
      <c r="Z30" s="63">
        <f>ROUND(IF(AQ30="5",BJ30,0),2)</f>
        <v>0</v>
      </c>
      <c r="AB30" s="63">
        <f>ROUND(IF(AQ30="1",BH30,0),2)</f>
        <v>0</v>
      </c>
      <c r="AC30" s="63">
        <f>ROUND(IF(AQ30="1",BI30,0),2)</f>
        <v>0</v>
      </c>
      <c r="AD30" s="63">
        <f>ROUND(IF(AQ30="7",BH30,0),2)</f>
        <v>0</v>
      </c>
      <c r="AE30" s="63">
        <f>ROUND(IF(AQ30="7",BI30,0),2)</f>
        <v>0</v>
      </c>
      <c r="AF30" s="63">
        <f>ROUND(IF(AQ30="2",BH30,0),2)</f>
        <v>0</v>
      </c>
      <c r="AG30" s="63">
        <f>ROUND(IF(AQ30="2",BI30,0),2)</f>
        <v>0</v>
      </c>
      <c r="AH30" s="63">
        <f>ROUND(IF(AQ30="0",BJ30,0),2)</f>
        <v>0</v>
      </c>
      <c r="AI30" s="60" t="s">
        <v>18</v>
      </c>
      <c r="AJ30" s="63">
        <f>IF(AN30=0,I30,0)</f>
        <v>0</v>
      </c>
      <c r="AK30" s="63">
        <f>IF(AN30=12,I30,0)</f>
        <v>0</v>
      </c>
      <c r="AL30" s="63">
        <f>IF(AN30=21,I30,0)</f>
        <v>0</v>
      </c>
      <c r="AN30" s="63">
        <v>21</v>
      </c>
      <c r="AO30" s="63">
        <f>H30*0.900000857</f>
        <v>0</v>
      </c>
      <c r="AP30" s="63">
        <f>H30*(1-0.900000857)</f>
        <v>0</v>
      </c>
      <c r="AQ30" s="64" t="s">
        <v>121</v>
      </c>
      <c r="AV30" s="63">
        <f>ROUND(AW30+AX30,2)</f>
        <v>0</v>
      </c>
      <c r="AW30" s="63">
        <f>ROUND(G30*AO30,2)</f>
        <v>0</v>
      </c>
      <c r="AX30" s="63">
        <f>ROUND(G30*AP30,2)</f>
        <v>0</v>
      </c>
      <c r="AY30" s="64" t="s">
        <v>164</v>
      </c>
      <c r="AZ30" s="64" t="s">
        <v>165</v>
      </c>
      <c r="BA30" s="60" t="s">
        <v>127</v>
      </c>
      <c r="BC30" s="63">
        <f>AW30+AX30</f>
        <v>0</v>
      </c>
      <c r="BD30" s="63">
        <f>H30/(100-BE30)*100</f>
        <v>0</v>
      </c>
      <c r="BE30" s="63">
        <v>0</v>
      </c>
      <c r="BF30" s="63">
        <f>30</f>
        <v>30</v>
      </c>
      <c r="BH30" s="63">
        <f>G30*AO30</f>
        <v>0</v>
      </c>
      <c r="BI30" s="63">
        <f>G30*AP30</f>
        <v>0</v>
      </c>
      <c r="BJ30" s="63">
        <f>G30*H30</f>
        <v>0</v>
      </c>
      <c r="BK30" s="63"/>
      <c r="BL30" s="63">
        <v>57</v>
      </c>
      <c r="BW30" s="63">
        <v>21</v>
      </c>
      <c r="BX30" s="65" t="s">
        <v>163</v>
      </c>
    </row>
    <row r="31" spans="1:76" x14ac:dyDescent="0.25">
      <c r="A31" s="75" t="s">
        <v>22</v>
      </c>
      <c r="B31" s="76" t="s">
        <v>18</v>
      </c>
      <c r="C31" s="76" t="s">
        <v>166</v>
      </c>
      <c r="D31" s="164" t="s">
        <v>207</v>
      </c>
      <c r="E31" s="165"/>
      <c r="F31" s="76" t="s">
        <v>142</v>
      </c>
      <c r="G31" s="63">
        <v>371.5</v>
      </c>
      <c r="H31" s="44">
        <v>0</v>
      </c>
      <c r="I31" s="44">
        <f>ROUND(G31*H31,2)</f>
        <v>0</v>
      </c>
      <c r="K31" s="62"/>
      <c r="Z31" s="63">
        <f>ROUND(IF(AQ31="5",BJ31,0),2)</f>
        <v>0</v>
      </c>
      <c r="AB31" s="63">
        <f>ROUND(IF(AQ31="1",BH31,0),2)</f>
        <v>0</v>
      </c>
      <c r="AC31" s="63">
        <f>ROUND(IF(AQ31="1",BI31,0),2)</f>
        <v>0</v>
      </c>
      <c r="AD31" s="63">
        <f>ROUND(IF(AQ31="7",BH31,0),2)</f>
        <v>0</v>
      </c>
      <c r="AE31" s="63">
        <f>ROUND(IF(AQ31="7",BI31,0),2)</f>
        <v>0</v>
      </c>
      <c r="AF31" s="63">
        <f>ROUND(IF(AQ31="2",BH31,0),2)</f>
        <v>0</v>
      </c>
      <c r="AG31" s="63">
        <f>ROUND(IF(AQ31="2",BI31,0),2)</f>
        <v>0</v>
      </c>
      <c r="AH31" s="63">
        <f>ROUND(IF(AQ31="0",BJ31,0),2)</f>
        <v>0</v>
      </c>
      <c r="AI31" s="60" t="s">
        <v>18</v>
      </c>
      <c r="AJ31" s="63">
        <f>IF(AN31=0,I31,0)</f>
        <v>0</v>
      </c>
      <c r="AK31" s="63">
        <f>IF(AN31=12,I31,0)</f>
        <v>0</v>
      </c>
      <c r="AL31" s="63">
        <f>IF(AN31=21,I31,0)</f>
        <v>0</v>
      </c>
      <c r="AN31" s="63">
        <v>21</v>
      </c>
      <c r="AO31" s="63">
        <f>H31*0.762119565</f>
        <v>0</v>
      </c>
      <c r="AP31" s="63">
        <f>H31*(1-0.762119565)</f>
        <v>0</v>
      </c>
      <c r="AQ31" s="64" t="s">
        <v>121</v>
      </c>
      <c r="AV31" s="63">
        <f>ROUND(AW31+AX31,2)</f>
        <v>0</v>
      </c>
      <c r="AW31" s="63">
        <f>ROUND(G31*AO31,2)</f>
        <v>0</v>
      </c>
      <c r="AX31" s="63">
        <f>ROUND(G31*AP31,2)</f>
        <v>0</v>
      </c>
      <c r="AY31" s="64" t="s">
        <v>164</v>
      </c>
      <c r="AZ31" s="64" t="s">
        <v>165</v>
      </c>
      <c r="BA31" s="60" t="s">
        <v>127</v>
      </c>
      <c r="BC31" s="63">
        <f>AW31+AX31</f>
        <v>0</v>
      </c>
      <c r="BD31" s="63">
        <f>H31/(100-BE31)*100</f>
        <v>0</v>
      </c>
      <c r="BE31" s="63">
        <v>0</v>
      </c>
      <c r="BF31" s="63">
        <f>31</f>
        <v>31</v>
      </c>
      <c r="BH31" s="63">
        <f>G31*AO31</f>
        <v>0</v>
      </c>
      <c r="BI31" s="63">
        <f>G31*AP31</f>
        <v>0</v>
      </c>
      <c r="BJ31" s="63">
        <f>G31*H31</f>
        <v>0</v>
      </c>
      <c r="BK31" s="63"/>
      <c r="BL31" s="63">
        <v>57</v>
      </c>
      <c r="BW31" s="63">
        <v>21</v>
      </c>
      <c r="BX31" s="65" t="s">
        <v>167</v>
      </c>
    </row>
    <row r="32" spans="1:76" x14ac:dyDescent="0.25">
      <c r="A32" s="75" t="s">
        <v>168</v>
      </c>
      <c r="B32" s="76" t="s">
        <v>18</v>
      </c>
      <c r="C32" s="76" t="s">
        <v>169</v>
      </c>
      <c r="D32" s="164" t="s">
        <v>170</v>
      </c>
      <c r="E32" s="165"/>
      <c r="F32" s="76" t="s">
        <v>171</v>
      </c>
      <c r="G32" s="63">
        <v>27.863</v>
      </c>
      <c r="H32" s="44">
        <v>0</v>
      </c>
      <c r="I32" s="44">
        <f>ROUND(G32*H32,2)</f>
        <v>0</v>
      </c>
      <c r="K32" s="62"/>
      <c r="Z32" s="63">
        <f>ROUND(IF(AQ32="5",BJ32,0),2)</f>
        <v>0</v>
      </c>
      <c r="AB32" s="63">
        <f>ROUND(IF(AQ32="1",BH32,0),2)</f>
        <v>0</v>
      </c>
      <c r="AC32" s="63">
        <f>ROUND(IF(AQ32="1",BI32,0),2)</f>
        <v>0</v>
      </c>
      <c r="AD32" s="63">
        <f>ROUND(IF(AQ32="7",BH32,0),2)</f>
        <v>0</v>
      </c>
      <c r="AE32" s="63">
        <f>ROUND(IF(AQ32="7",BI32,0),2)</f>
        <v>0</v>
      </c>
      <c r="AF32" s="63">
        <f>ROUND(IF(AQ32="2",BH32,0),2)</f>
        <v>0</v>
      </c>
      <c r="AG32" s="63">
        <f>ROUND(IF(AQ32="2",BI32,0),2)</f>
        <v>0</v>
      </c>
      <c r="AH32" s="63">
        <f>ROUND(IF(AQ32="0",BJ32,0),2)</f>
        <v>0</v>
      </c>
      <c r="AI32" s="60" t="s">
        <v>18</v>
      </c>
      <c r="AJ32" s="63">
        <f>IF(AN32=0,I32,0)</f>
        <v>0</v>
      </c>
      <c r="AK32" s="63">
        <f>IF(AN32=12,I32,0)</f>
        <v>0</v>
      </c>
      <c r="AL32" s="63">
        <f>IF(AN32=21,I32,0)</f>
        <v>0</v>
      </c>
      <c r="AN32" s="63">
        <v>21</v>
      </c>
      <c r="AO32" s="63">
        <f>H32*0.914890025</f>
        <v>0</v>
      </c>
      <c r="AP32" s="63">
        <f>H32*(1-0.914890025)</f>
        <v>0</v>
      </c>
      <c r="AQ32" s="64" t="s">
        <v>121</v>
      </c>
      <c r="AV32" s="63">
        <f>ROUND(AW32+AX32,2)</f>
        <v>0</v>
      </c>
      <c r="AW32" s="63">
        <f>ROUND(G32*AO32,2)</f>
        <v>0</v>
      </c>
      <c r="AX32" s="63">
        <f>ROUND(G32*AP32,2)</f>
        <v>0</v>
      </c>
      <c r="AY32" s="64" t="s">
        <v>164</v>
      </c>
      <c r="AZ32" s="64" t="s">
        <v>165</v>
      </c>
      <c r="BA32" s="60" t="s">
        <v>127</v>
      </c>
      <c r="BC32" s="63">
        <f>AW32+AX32</f>
        <v>0</v>
      </c>
      <c r="BD32" s="63">
        <f>H32/(100-BE32)*100</f>
        <v>0</v>
      </c>
      <c r="BE32" s="63">
        <v>0</v>
      </c>
      <c r="BF32" s="63">
        <f>32</f>
        <v>32</v>
      </c>
      <c r="BH32" s="63">
        <f>G32*AO32</f>
        <v>0</v>
      </c>
      <c r="BI32" s="63">
        <f>G32*AP32</f>
        <v>0</v>
      </c>
      <c r="BJ32" s="63">
        <f>G32*H32</f>
        <v>0</v>
      </c>
      <c r="BK32" s="63"/>
      <c r="BL32" s="63">
        <v>57</v>
      </c>
      <c r="BW32" s="63">
        <v>21</v>
      </c>
      <c r="BX32" s="65" t="s">
        <v>170</v>
      </c>
    </row>
    <row r="33" spans="1:76" x14ac:dyDescent="0.25">
      <c r="A33" s="80"/>
      <c r="D33" s="81" t="s">
        <v>172</v>
      </c>
      <c r="E33" s="81" t="s">
        <v>18</v>
      </c>
      <c r="G33" s="82">
        <v>27.863</v>
      </c>
      <c r="K33" s="62"/>
    </row>
    <row r="34" spans="1:76" x14ac:dyDescent="0.25">
      <c r="A34" s="77" t="s">
        <v>18</v>
      </c>
      <c r="B34" s="78" t="s">
        <v>18</v>
      </c>
      <c r="C34" s="78" t="s">
        <v>28</v>
      </c>
      <c r="D34" s="168" t="s">
        <v>29</v>
      </c>
      <c r="E34" s="169"/>
      <c r="F34" s="79" t="s">
        <v>3</v>
      </c>
      <c r="G34" s="79" t="s">
        <v>3</v>
      </c>
      <c r="H34" s="45" t="s">
        <v>3</v>
      </c>
      <c r="I34" s="37">
        <f>SUM(I35:I35)</f>
        <v>0</v>
      </c>
      <c r="K34" s="62"/>
      <c r="AI34" s="60" t="s">
        <v>18</v>
      </c>
      <c r="AS34" s="55">
        <f>SUM(AJ35:AJ35)</f>
        <v>0</v>
      </c>
      <c r="AT34" s="55">
        <f>SUM(AK35:AK35)</f>
        <v>0</v>
      </c>
      <c r="AU34" s="55">
        <f>SUM(AL35:AL35)</f>
        <v>0</v>
      </c>
    </row>
    <row r="35" spans="1:76" x14ac:dyDescent="0.25">
      <c r="A35" s="75" t="s">
        <v>173</v>
      </c>
      <c r="B35" s="76" t="s">
        <v>18</v>
      </c>
      <c r="C35" s="76" t="s">
        <v>174</v>
      </c>
      <c r="D35" s="164" t="s">
        <v>175</v>
      </c>
      <c r="E35" s="165"/>
      <c r="F35" s="76" t="s">
        <v>151</v>
      </c>
      <c r="G35" s="63">
        <v>21</v>
      </c>
      <c r="H35" s="44">
        <v>0</v>
      </c>
      <c r="I35" s="44">
        <f>ROUND(G35*H35,2)</f>
        <v>0</v>
      </c>
      <c r="K35" s="62"/>
      <c r="Z35" s="63">
        <f>ROUND(IF(AQ35="5",BJ35,0),2)</f>
        <v>0</v>
      </c>
      <c r="AB35" s="63">
        <f>ROUND(IF(AQ35="1",BH35,0),2)</f>
        <v>0</v>
      </c>
      <c r="AC35" s="63">
        <f>ROUND(IF(AQ35="1",BI35,0),2)</f>
        <v>0</v>
      </c>
      <c r="AD35" s="63">
        <f>ROUND(IF(AQ35="7",BH35,0),2)</f>
        <v>0</v>
      </c>
      <c r="AE35" s="63">
        <f>ROUND(IF(AQ35="7",BI35,0),2)</f>
        <v>0</v>
      </c>
      <c r="AF35" s="63">
        <f>ROUND(IF(AQ35="2",BH35,0),2)</f>
        <v>0</v>
      </c>
      <c r="AG35" s="63">
        <f>ROUND(IF(AQ35="2",BI35,0),2)</f>
        <v>0</v>
      </c>
      <c r="AH35" s="63">
        <f>ROUND(IF(AQ35="0",BJ35,0),2)</f>
        <v>0</v>
      </c>
      <c r="AI35" s="60" t="s">
        <v>18</v>
      </c>
      <c r="AJ35" s="63">
        <f>IF(AN35=0,I35,0)</f>
        <v>0</v>
      </c>
      <c r="AK35" s="63">
        <f>IF(AN35=12,I35,0)</f>
        <v>0</v>
      </c>
      <c r="AL35" s="63">
        <f>IF(AN35=21,I35,0)</f>
        <v>0</v>
      </c>
      <c r="AN35" s="63">
        <v>21</v>
      </c>
      <c r="AO35" s="63">
        <f>H35*0.867146205</f>
        <v>0</v>
      </c>
      <c r="AP35" s="63">
        <f>H35*(1-0.867146205)</f>
        <v>0</v>
      </c>
      <c r="AQ35" s="64" t="s">
        <v>121</v>
      </c>
      <c r="AV35" s="63">
        <f>ROUND(AW35+AX35,2)</f>
        <v>0</v>
      </c>
      <c r="AW35" s="63">
        <f>ROUND(G35*AO35,2)</f>
        <v>0</v>
      </c>
      <c r="AX35" s="63">
        <f>ROUND(G35*AP35,2)</f>
        <v>0</v>
      </c>
      <c r="AY35" s="64" t="s">
        <v>176</v>
      </c>
      <c r="AZ35" s="64" t="s">
        <v>165</v>
      </c>
      <c r="BA35" s="60" t="s">
        <v>127</v>
      </c>
      <c r="BC35" s="63">
        <f>AW35+AX35</f>
        <v>0</v>
      </c>
      <c r="BD35" s="63">
        <f>H35/(100-BE35)*100</f>
        <v>0</v>
      </c>
      <c r="BE35" s="63">
        <v>0</v>
      </c>
      <c r="BF35" s="63">
        <f>35</f>
        <v>35</v>
      </c>
      <c r="BH35" s="63">
        <f>G35*AO35</f>
        <v>0</v>
      </c>
      <c r="BI35" s="63">
        <f>G35*AP35</f>
        <v>0</v>
      </c>
      <c r="BJ35" s="63">
        <f>G35*H35</f>
        <v>0</v>
      </c>
      <c r="BK35" s="63"/>
      <c r="BL35" s="63">
        <v>59</v>
      </c>
      <c r="BW35" s="63">
        <v>21</v>
      </c>
      <c r="BX35" s="65" t="s">
        <v>175</v>
      </c>
    </row>
    <row r="36" spans="1:76" x14ac:dyDescent="0.25">
      <c r="A36" s="80"/>
      <c r="D36" s="81" t="s">
        <v>177</v>
      </c>
      <c r="E36" s="81" t="s">
        <v>18</v>
      </c>
      <c r="G36" s="82">
        <v>21</v>
      </c>
      <c r="K36" s="62"/>
    </row>
    <row r="37" spans="1:76" x14ac:dyDescent="0.25">
      <c r="A37" s="77" t="s">
        <v>18</v>
      </c>
      <c r="B37" s="78" t="s">
        <v>18</v>
      </c>
      <c r="C37" s="78" t="s">
        <v>30</v>
      </c>
      <c r="D37" s="168" t="s">
        <v>31</v>
      </c>
      <c r="E37" s="169"/>
      <c r="F37" s="79" t="s">
        <v>3</v>
      </c>
      <c r="G37" s="79" t="s">
        <v>3</v>
      </c>
      <c r="H37" s="45" t="s">
        <v>3</v>
      </c>
      <c r="I37" s="37">
        <f>SUM(I38:I38)</f>
        <v>0</v>
      </c>
      <c r="K37" s="62"/>
      <c r="AI37" s="60" t="s">
        <v>18</v>
      </c>
      <c r="AS37" s="55">
        <f>SUM(AJ38:AJ38)</f>
        <v>0</v>
      </c>
      <c r="AT37" s="55">
        <f>SUM(AK38:AK38)</f>
        <v>0</v>
      </c>
      <c r="AU37" s="55">
        <f>SUM(AL38:AL38)</f>
        <v>0</v>
      </c>
    </row>
    <row r="38" spans="1:76" x14ac:dyDescent="0.25">
      <c r="A38" s="75" t="s">
        <v>178</v>
      </c>
      <c r="B38" s="76" t="s">
        <v>18</v>
      </c>
      <c r="C38" s="76" t="s">
        <v>179</v>
      </c>
      <c r="D38" s="164" t="s">
        <v>180</v>
      </c>
      <c r="E38" s="165"/>
      <c r="F38" s="76" t="s">
        <v>181</v>
      </c>
      <c r="G38" s="63">
        <v>1</v>
      </c>
      <c r="H38" s="44">
        <v>0</v>
      </c>
      <c r="I38" s="44">
        <f>ROUND(G38*H38,2)</f>
        <v>0</v>
      </c>
      <c r="K38" s="62"/>
      <c r="Z38" s="63">
        <f>ROUND(IF(AQ38="5",BJ38,0),2)</f>
        <v>0</v>
      </c>
      <c r="AB38" s="63">
        <f>ROUND(IF(AQ38="1",BH38,0),2)</f>
        <v>0</v>
      </c>
      <c r="AC38" s="63">
        <f>ROUND(IF(AQ38="1",BI38,0),2)</f>
        <v>0</v>
      </c>
      <c r="AD38" s="63">
        <f>ROUND(IF(AQ38="7",BH38,0),2)</f>
        <v>0</v>
      </c>
      <c r="AE38" s="63">
        <f>ROUND(IF(AQ38="7",BI38,0),2)</f>
        <v>0</v>
      </c>
      <c r="AF38" s="63">
        <f>ROUND(IF(AQ38="2",BH38,0),2)</f>
        <v>0</v>
      </c>
      <c r="AG38" s="63">
        <f>ROUND(IF(AQ38="2",BI38,0),2)</f>
        <v>0</v>
      </c>
      <c r="AH38" s="63">
        <f>ROUND(IF(AQ38="0",BJ38,0),2)</f>
        <v>0</v>
      </c>
      <c r="AI38" s="60" t="s">
        <v>18</v>
      </c>
      <c r="AJ38" s="63">
        <f>IF(AN38=0,I38,0)</f>
        <v>0</v>
      </c>
      <c r="AK38" s="63">
        <f>IF(AN38=12,I38,0)</f>
        <v>0</v>
      </c>
      <c r="AL38" s="63">
        <f>IF(AN38=21,I38,0)</f>
        <v>0</v>
      </c>
      <c r="AN38" s="63">
        <v>21</v>
      </c>
      <c r="AO38" s="63">
        <f>H38*0.338885802</f>
        <v>0</v>
      </c>
      <c r="AP38" s="63">
        <f>H38*(1-0.338885802)</f>
        <v>0</v>
      </c>
      <c r="AQ38" s="64" t="s">
        <v>121</v>
      </c>
      <c r="AV38" s="63">
        <f>ROUND(AW38+AX38,2)</f>
        <v>0</v>
      </c>
      <c r="AW38" s="63">
        <f>ROUND(G38*AO38,2)</f>
        <v>0</v>
      </c>
      <c r="AX38" s="63">
        <f>ROUND(G38*AP38,2)</f>
        <v>0</v>
      </c>
      <c r="AY38" s="64" t="s">
        <v>182</v>
      </c>
      <c r="AZ38" s="64" t="s">
        <v>183</v>
      </c>
      <c r="BA38" s="60" t="s">
        <v>127</v>
      </c>
      <c r="BC38" s="63">
        <f>AW38+AX38</f>
        <v>0</v>
      </c>
      <c r="BD38" s="63">
        <f>H38/(100-BE38)*100</f>
        <v>0</v>
      </c>
      <c r="BE38" s="63">
        <v>0</v>
      </c>
      <c r="BF38" s="63">
        <f>38</f>
        <v>38</v>
      </c>
      <c r="BH38" s="63">
        <f>G38*AO38</f>
        <v>0</v>
      </c>
      <c r="BI38" s="63">
        <f>G38*AP38</f>
        <v>0</v>
      </c>
      <c r="BJ38" s="63">
        <f>G38*H38</f>
        <v>0</v>
      </c>
      <c r="BK38" s="63"/>
      <c r="BL38" s="63">
        <v>89</v>
      </c>
      <c r="BW38" s="63">
        <v>21</v>
      </c>
      <c r="BX38" s="65" t="s">
        <v>180</v>
      </c>
    </row>
    <row r="39" spans="1:76" x14ac:dyDescent="0.25">
      <c r="A39" s="77" t="s">
        <v>18</v>
      </c>
      <c r="B39" s="78" t="s">
        <v>18</v>
      </c>
      <c r="C39" s="78" t="s">
        <v>32</v>
      </c>
      <c r="D39" s="168" t="s">
        <v>33</v>
      </c>
      <c r="E39" s="169"/>
      <c r="F39" s="79" t="s">
        <v>3</v>
      </c>
      <c r="G39" s="79" t="s">
        <v>3</v>
      </c>
      <c r="H39" s="45" t="s">
        <v>3</v>
      </c>
      <c r="I39" s="37">
        <f>SUM(I40:I42)</f>
        <v>0</v>
      </c>
      <c r="K39" s="62"/>
      <c r="AI39" s="60" t="s">
        <v>18</v>
      </c>
      <c r="AS39" s="55">
        <f>SUM(AJ40:AJ42)</f>
        <v>0</v>
      </c>
      <c r="AT39" s="55">
        <f>SUM(AK40:AK42)</f>
        <v>0</v>
      </c>
      <c r="AU39" s="55">
        <f>SUM(AL40:AL42)</f>
        <v>0</v>
      </c>
    </row>
    <row r="40" spans="1:76" x14ac:dyDescent="0.25">
      <c r="A40" s="75" t="s">
        <v>184</v>
      </c>
      <c r="B40" s="76" t="s">
        <v>18</v>
      </c>
      <c r="C40" s="76" t="s">
        <v>185</v>
      </c>
      <c r="D40" s="164" t="s">
        <v>186</v>
      </c>
      <c r="E40" s="165"/>
      <c r="F40" s="76" t="s">
        <v>151</v>
      </c>
      <c r="G40" s="63">
        <v>21</v>
      </c>
      <c r="H40" s="44">
        <v>0</v>
      </c>
      <c r="I40" s="44">
        <f>ROUND(G40*H40,2)</f>
        <v>0</v>
      </c>
      <c r="K40" s="62"/>
      <c r="Z40" s="63">
        <f>ROUND(IF(AQ40="5",BJ40,0),2)</f>
        <v>0</v>
      </c>
      <c r="AB40" s="63">
        <f>ROUND(IF(AQ40="1",BH40,0),2)</f>
        <v>0</v>
      </c>
      <c r="AC40" s="63">
        <f>ROUND(IF(AQ40="1",BI40,0),2)</f>
        <v>0</v>
      </c>
      <c r="AD40" s="63">
        <f>ROUND(IF(AQ40="7",BH40,0),2)</f>
        <v>0</v>
      </c>
      <c r="AE40" s="63">
        <f>ROUND(IF(AQ40="7",BI40,0),2)</f>
        <v>0</v>
      </c>
      <c r="AF40" s="63">
        <f>ROUND(IF(AQ40="2",BH40,0),2)</f>
        <v>0</v>
      </c>
      <c r="AG40" s="63">
        <f>ROUND(IF(AQ40="2",BI40,0),2)</f>
        <v>0</v>
      </c>
      <c r="AH40" s="63">
        <f>ROUND(IF(AQ40="0",BJ40,0),2)</f>
        <v>0</v>
      </c>
      <c r="AI40" s="60" t="s">
        <v>18</v>
      </c>
      <c r="AJ40" s="63">
        <f>IF(AN40=0,I40,0)</f>
        <v>0</v>
      </c>
      <c r="AK40" s="63">
        <f>IF(AN40=12,I40,0)</f>
        <v>0</v>
      </c>
      <c r="AL40" s="63">
        <f>IF(AN40=21,I40,0)</f>
        <v>0</v>
      </c>
      <c r="AN40" s="63">
        <v>21</v>
      </c>
      <c r="AO40" s="63">
        <f>H40*0.556102708</f>
        <v>0</v>
      </c>
      <c r="AP40" s="63">
        <f>H40*(1-0.556102708)</f>
        <v>0</v>
      </c>
      <c r="AQ40" s="64" t="s">
        <v>121</v>
      </c>
      <c r="AV40" s="63">
        <f>ROUND(AW40+AX40,2)</f>
        <v>0</v>
      </c>
      <c r="AW40" s="63">
        <f>ROUND(G40*AO40,2)</f>
        <v>0</v>
      </c>
      <c r="AX40" s="63">
        <f>ROUND(G40*AP40,2)</f>
        <v>0</v>
      </c>
      <c r="AY40" s="64" t="s">
        <v>187</v>
      </c>
      <c r="AZ40" s="64" t="s">
        <v>188</v>
      </c>
      <c r="BA40" s="60" t="s">
        <v>127</v>
      </c>
      <c r="BC40" s="63">
        <f>AW40+AX40</f>
        <v>0</v>
      </c>
      <c r="BD40" s="63">
        <f>H40/(100-BE40)*100</f>
        <v>0</v>
      </c>
      <c r="BE40" s="63">
        <v>0</v>
      </c>
      <c r="BF40" s="63">
        <f>40</f>
        <v>40</v>
      </c>
      <c r="BH40" s="63">
        <f>G40*AO40</f>
        <v>0</v>
      </c>
      <c r="BI40" s="63">
        <f>G40*AP40</f>
        <v>0</v>
      </c>
      <c r="BJ40" s="63">
        <f>G40*H40</f>
        <v>0</v>
      </c>
      <c r="BK40" s="63"/>
      <c r="BL40" s="63">
        <v>91</v>
      </c>
      <c r="BW40" s="63">
        <v>21</v>
      </c>
      <c r="BX40" s="65" t="s">
        <v>186</v>
      </c>
    </row>
    <row r="41" spans="1:76" x14ac:dyDescent="0.25">
      <c r="A41" s="80"/>
      <c r="D41" s="81" t="s">
        <v>177</v>
      </c>
      <c r="E41" s="81" t="s">
        <v>18</v>
      </c>
      <c r="G41" s="82">
        <v>21</v>
      </c>
      <c r="K41" s="62"/>
    </row>
    <row r="42" spans="1:76" x14ac:dyDescent="0.25">
      <c r="A42" s="75" t="s">
        <v>189</v>
      </c>
      <c r="B42" s="76" t="s">
        <v>18</v>
      </c>
      <c r="C42" s="76" t="s">
        <v>190</v>
      </c>
      <c r="D42" s="164" t="s">
        <v>191</v>
      </c>
      <c r="E42" s="165"/>
      <c r="F42" s="76" t="s">
        <v>171</v>
      </c>
      <c r="G42" s="63">
        <v>66.231999999999999</v>
      </c>
      <c r="H42" s="44">
        <v>0</v>
      </c>
      <c r="I42" s="44">
        <f>ROUND(G42*H42,2)</f>
        <v>0</v>
      </c>
      <c r="K42" s="62"/>
      <c r="Z42" s="63">
        <f>ROUND(IF(AQ42="5",BJ42,0),2)</f>
        <v>0</v>
      </c>
      <c r="AB42" s="63">
        <f>ROUND(IF(AQ42="1",BH42,0),2)</f>
        <v>0</v>
      </c>
      <c r="AC42" s="63">
        <f>ROUND(IF(AQ42="1",BI42,0),2)</f>
        <v>0</v>
      </c>
      <c r="AD42" s="63">
        <f>ROUND(IF(AQ42="7",BH42,0),2)</f>
        <v>0</v>
      </c>
      <c r="AE42" s="63">
        <f>ROUND(IF(AQ42="7",BI42,0),2)</f>
        <v>0</v>
      </c>
      <c r="AF42" s="63">
        <f>ROUND(IF(AQ42="2",BH42,0),2)</f>
        <v>0</v>
      </c>
      <c r="AG42" s="63">
        <f>ROUND(IF(AQ42="2",BI42,0),2)</f>
        <v>0</v>
      </c>
      <c r="AH42" s="63">
        <f>ROUND(IF(AQ42="0",BJ42,0),2)</f>
        <v>0</v>
      </c>
      <c r="AI42" s="60" t="s">
        <v>18</v>
      </c>
      <c r="AJ42" s="63">
        <f>IF(AN42=0,I42,0)</f>
        <v>0</v>
      </c>
      <c r="AK42" s="63">
        <f>IF(AN42=12,I42,0)</f>
        <v>0</v>
      </c>
      <c r="AL42" s="63">
        <f>IF(AN42=21,I42,0)</f>
        <v>0</v>
      </c>
      <c r="AN42" s="63">
        <v>21</v>
      </c>
      <c r="AO42" s="63">
        <f>H42*0</f>
        <v>0</v>
      </c>
      <c r="AP42" s="63">
        <f>H42*(1-0)</f>
        <v>0</v>
      </c>
      <c r="AQ42" s="64" t="s">
        <v>137</v>
      </c>
      <c r="AV42" s="63">
        <f>ROUND(AW42+AX42,2)</f>
        <v>0</v>
      </c>
      <c r="AW42" s="63">
        <f>ROUND(G42*AO42,2)</f>
        <v>0</v>
      </c>
      <c r="AX42" s="63">
        <f>ROUND(G42*AP42,2)</f>
        <v>0</v>
      </c>
      <c r="AY42" s="64" t="s">
        <v>187</v>
      </c>
      <c r="AZ42" s="64" t="s">
        <v>188</v>
      </c>
      <c r="BA42" s="60" t="s">
        <v>127</v>
      </c>
      <c r="BC42" s="63">
        <f>AW42+AX42</f>
        <v>0</v>
      </c>
      <c r="BD42" s="63">
        <f>H42/(100-BE42)*100</f>
        <v>0</v>
      </c>
      <c r="BE42" s="63">
        <v>0</v>
      </c>
      <c r="BF42" s="63">
        <f>42</f>
        <v>42</v>
      </c>
      <c r="BH42" s="63">
        <f>G42*AO42</f>
        <v>0</v>
      </c>
      <c r="BI42" s="63">
        <f>G42*AP42</f>
        <v>0</v>
      </c>
      <c r="BJ42" s="63">
        <f>G42*H42</f>
        <v>0</v>
      </c>
      <c r="BK42" s="63"/>
      <c r="BL42" s="63">
        <v>91</v>
      </c>
      <c r="BW42" s="63">
        <v>21</v>
      </c>
      <c r="BX42" s="65" t="s">
        <v>191</v>
      </c>
    </row>
    <row r="43" spans="1:76" x14ac:dyDescent="0.25">
      <c r="A43" s="77" t="s">
        <v>18</v>
      </c>
      <c r="B43" s="78" t="s">
        <v>18</v>
      </c>
      <c r="C43" s="78" t="s">
        <v>34</v>
      </c>
      <c r="D43" s="168" t="s">
        <v>35</v>
      </c>
      <c r="E43" s="169"/>
      <c r="F43" s="79" t="s">
        <v>3</v>
      </c>
      <c r="G43" s="79" t="s">
        <v>3</v>
      </c>
      <c r="H43" s="45" t="s">
        <v>3</v>
      </c>
      <c r="I43" s="37">
        <f>SUM(I44:I50)</f>
        <v>-6538.4</v>
      </c>
      <c r="K43" s="62"/>
      <c r="AI43" s="60" t="s">
        <v>18</v>
      </c>
      <c r="AS43" s="55">
        <f>SUM(AJ44:AJ50)</f>
        <v>0</v>
      </c>
      <c r="AT43" s="55">
        <f>SUM(AK44:AK50)</f>
        <v>0</v>
      </c>
      <c r="AU43" s="55">
        <f>SUM(AL44:AL50)</f>
        <v>-6538.4</v>
      </c>
    </row>
    <row r="44" spans="1:76" x14ac:dyDescent="0.25">
      <c r="A44" s="75" t="s">
        <v>192</v>
      </c>
      <c r="B44" s="76" t="s">
        <v>18</v>
      </c>
      <c r="C44" s="76" t="s">
        <v>193</v>
      </c>
      <c r="D44" s="164" t="s">
        <v>194</v>
      </c>
      <c r="E44" s="165"/>
      <c r="F44" s="76" t="s">
        <v>171</v>
      </c>
      <c r="G44" s="63">
        <v>0.746</v>
      </c>
      <c r="H44" s="44">
        <v>0</v>
      </c>
      <c r="I44" s="44">
        <f>ROUND(G44*H44,2)</f>
        <v>0</v>
      </c>
      <c r="K44" s="62"/>
      <c r="Z44" s="63">
        <f>ROUND(IF(AQ44="5",BJ44,0),2)</f>
        <v>0</v>
      </c>
      <c r="AB44" s="63">
        <f>ROUND(IF(AQ44="1",BH44,0),2)</f>
        <v>0</v>
      </c>
      <c r="AC44" s="63">
        <f>ROUND(IF(AQ44="1",BI44,0),2)</f>
        <v>0</v>
      </c>
      <c r="AD44" s="63">
        <f>ROUND(IF(AQ44="7",BH44,0),2)</f>
        <v>0</v>
      </c>
      <c r="AE44" s="63">
        <f>ROUND(IF(AQ44="7",BI44,0),2)</f>
        <v>0</v>
      </c>
      <c r="AF44" s="63">
        <f>ROUND(IF(AQ44="2",BH44,0),2)</f>
        <v>0</v>
      </c>
      <c r="AG44" s="63">
        <f>ROUND(IF(AQ44="2",BI44,0),2)</f>
        <v>0</v>
      </c>
      <c r="AH44" s="63">
        <f>ROUND(IF(AQ44="0",BJ44,0),2)</f>
        <v>0</v>
      </c>
      <c r="AI44" s="60" t="s">
        <v>18</v>
      </c>
      <c r="AJ44" s="63">
        <f>IF(AN44=0,I44,0)</f>
        <v>0</v>
      </c>
      <c r="AK44" s="63">
        <f>IF(AN44=12,I44,0)</f>
        <v>0</v>
      </c>
      <c r="AL44" s="63">
        <f>IF(AN44=21,I44,0)</f>
        <v>0</v>
      </c>
      <c r="AN44" s="63">
        <v>21</v>
      </c>
      <c r="AO44" s="63">
        <f>H44*0</f>
        <v>0</v>
      </c>
      <c r="AP44" s="63">
        <f>H44*(1-0)</f>
        <v>0</v>
      </c>
      <c r="AQ44" s="64" t="s">
        <v>137</v>
      </c>
      <c r="AV44" s="63">
        <f>ROUND(AW44+AX44,2)</f>
        <v>0</v>
      </c>
      <c r="AW44" s="63">
        <f>ROUND(G44*AO44,2)</f>
        <v>0</v>
      </c>
      <c r="AX44" s="63">
        <f>ROUND(G44*AP44,2)</f>
        <v>0</v>
      </c>
      <c r="AY44" s="64" t="s">
        <v>195</v>
      </c>
      <c r="AZ44" s="64" t="s">
        <v>188</v>
      </c>
      <c r="BA44" s="60" t="s">
        <v>127</v>
      </c>
      <c r="BC44" s="63">
        <f>AW44+AX44</f>
        <v>0</v>
      </c>
      <c r="BD44" s="63">
        <f>H44/(100-BE44)*100</f>
        <v>0</v>
      </c>
      <c r="BE44" s="63">
        <v>0</v>
      </c>
      <c r="BF44" s="63">
        <f>44</f>
        <v>44</v>
      </c>
      <c r="BH44" s="63">
        <f>G44*AO44</f>
        <v>0</v>
      </c>
      <c r="BI44" s="63">
        <f>G44*AP44</f>
        <v>0</v>
      </c>
      <c r="BJ44" s="63">
        <f>G44*H44</f>
        <v>0</v>
      </c>
      <c r="BK44" s="63"/>
      <c r="BL44" s="63"/>
      <c r="BW44" s="63">
        <v>21</v>
      </c>
      <c r="BX44" s="65" t="s">
        <v>194</v>
      </c>
    </row>
    <row r="45" spans="1:76" x14ac:dyDescent="0.25">
      <c r="A45" s="80"/>
      <c r="D45" s="81" t="s">
        <v>196</v>
      </c>
      <c r="E45" s="81" t="s">
        <v>18</v>
      </c>
      <c r="G45" s="82">
        <v>0</v>
      </c>
      <c r="K45" s="62"/>
    </row>
    <row r="46" spans="1:76" x14ac:dyDescent="0.25">
      <c r="A46" s="80"/>
      <c r="D46" s="81" t="s">
        <v>197</v>
      </c>
      <c r="E46" s="81" t="s">
        <v>18</v>
      </c>
      <c r="G46" s="82">
        <v>0.746</v>
      </c>
      <c r="K46" s="62"/>
    </row>
    <row r="47" spans="1:76" x14ac:dyDescent="0.25">
      <c r="A47" s="75" t="s">
        <v>24</v>
      </c>
      <c r="B47" s="76" t="s">
        <v>18</v>
      </c>
      <c r="C47" s="76" t="s">
        <v>198</v>
      </c>
      <c r="D47" s="164" t="s">
        <v>199</v>
      </c>
      <c r="E47" s="165"/>
      <c r="F47" s="76" t="s">
        <v>171</v>
      </c>
      <c r="G47" s="63">
        <v>2.238</v>
      </c>
      <c r="H47" s="44">
        <v>0</v>
      </c>
      <c r="I47" s="44">
        <f>ROUND(G47*H47,2)</f>
        <v>0</v>
      </c>
      <c r="K47" s="62"/>
      <c r="Z47" s="63">
        <f>ROUND(IF(AQ47="5",BJ47,0),2)</f>
        <v>0</v>
      </c>
      <c r="AB47" s="63">
        <f>ROUND(IF(AQ47="1",BH47,0),2)</f>
        <v>0</v>
      </c>
      <c r="AC47" s="63">
        <f>ROUND(IF(AQ47="1",BI47,0),2)</f>
        <v>0</v>
      </c>
      <c r="AD47" s="63">
        <f>ROUND(IF(AQ47="7",BH47,0),2)</f>
        <v>0</v>
      </c>
      <c r="AE47" s="63">
        <f>ROUND(IF(AQ47="7",BI47,0),2)</f>
        <v>0</v>
      </c>
      <c r="AF47" s="63">
        <f>ROUND(IF(AQ47="2",BH47,0),2)</f>
        <v>0</v>
      </c>
      <c r="AG47" s="63">
        <f>ROUND(IF(AQ47="2",BI47,0),2)</f>
        <v>0</v>
      </c>
      <c r="AH47" s="63">
        <f>ROUND(IF(AQ47="0",BJ47,0),2)</f>
        <v>0</v>
      </c>
      <c r="AI47" s="60" t="s">
        <v>18</v>
      </c>
      <c r="AJ47" s="63">
        <f>IF(AN47=0,I47,0)</f>
        <v>0</v>
      </c>
      <c r="AK47" s="63">
        <f>IF(AN47=12,I47,0)</f>
        <v>0</v>
      </c>
      <c r="AL47" s="63">
        <f>IF(AN47=21,I47,0)</f>
        <v>0</v>
      </c>
      <c r="AN47" s="63">
        <v>21</v>
      </c>
      <c r="AO47" s="63">
        <f>H47*0</f>
        <v>0</v>
      </c>
      <c r="AP47" s="63">
        <f>H47*(1-0)</f>
        <v>0</v>
      </c>
      <c r="AQ47" s="64" t="s">
        <v>137</v>
      </c>
      <c r="AV47" s="63">
        <f>ROUND(AW47+AX47,2)</f>
        <v>0</v>
      </c>
      <c r="AW47" s="63">
        <f>ROUND(G47*AO47,2)</f>
        <v>0</v>
      </c>
      <c r="AX47" s="63">
        <f>ROUND(G47*AP47,2)</f>
        <v>0</v>
      </c>
      <c r="AY47" s="64" t="s">
        <v>195</v>
      </c>
      <c r="AZ47" s="64" t="s">
        <v>188</v>
      </c>
      <c r="BA47" s="60" t="s">
        <v>127</v>
      </c>
      <c r="BC47" s="63">
        <f>AW47+AX47</f>
        <v>0</v>
      </c>
      <c r="BD47" s="63">
        <f>H47/(100-BE47)*100</f>
        <v>0</v>
      </c>
      <c r="BE47" s="63">
        <v>0</v>
      </c>
      <c r="BF47" s="63">
        <f>47</f>
        <v>47</v>
      </c>
      <c r="BH47" s="63">
        <f>G47*AO47</f>
        <v>0</v>
      </c>
      <c r="BI47" s="63">
        <f>G47*AP47</f>
        <v>0</v>
      </c>
      <c r="BJ47" s="63">
        <f>G47*H47</f>
        <v>0</v>
      </c>
      <c r="BK47" s="63"/>
      <c r="BL47" s="63"/>
      <c r="BW47" s="63">
        <v>21</v>
      </c>
      <c r="BX47" s="65" t="s">
        <v>199</v>
      </c>
    </row>
    <row r="48" spans="1:76" x14ac:dyDescent="0.25">
      <c r="A48" s="80"/>
      <c r="D48" s="81" t="s">
        <v>200</v>
      </c>
      <c r="E48" s="81" t="s">
        <v>18</v>
      </c>
      <c r="G48" s="82">
        <v>2.238</v>
      </c>
      <c r="K48" s="62"/>
    </row>
    <row r="49" spans="1:76" ht="25.5" x14ac:dyDescent="0.25">
      <c r="A49" s="75" t="s">
        <v>201</v>
      </c>
      <c r="B49" s="76" t="s">
        <v>18</v>
      </c>
      <c r="C49" s="76" t="s">
        <v>202</v>
      </c>
      <c r="D49" s="164" t="s">
        <v>203</v>
      </c>
      <c r="E49" s="165"/>
      <c r="F49" s="76" t="s">
        <v>171</v>
      </c>
      <c r="G49" s="63">
        <v>0.746</v>
      </c>
      <c r="H49" s="44">
        <v>0</v>
      </c>
      <c r="I49" s="44">
        <f>ROUND(G49*H49,2)</f>
        <v>0</v>
      </c>
      <c r="K49" s="62"/>
      <c r="Z49" s="63">
        <f>ROUND(IF(AQ49="5",BJ49,0),2)</f>
        <v>0</v>
      </c>
      <c r="AB49" s="63">
        <f>ROUND(IF(AQ49="1",BH49,0),2)</f>
        <v>0</v>
      </c>
      <c r="AC49" s="63">
        <f>ROUND(IF(AQ49="1",BI49,0),2)</f>
        <v>0</v>
      </c>
      <c r="AD49" s="63">
        <f>ROUND(IF(AQ49="7",BH49,0),2)</f>
        <v>0</v>
      </c>
      <c r="AE49" s="63">
        <f>ROUND(IF(AQ49="7",BI49,0),2)</f>
        <v>0</v>
      </c>
      <c r="AF49" s="63">
        <f>ROUND(IF(AQ49="2",BH49,0),2)</f>
        <v>0</v>
      </c>
      <c r="AG49" s="63">
        <f>ROUND(IF(AQ49="2",BI49,0),2)</f>
        <v>0</v>
      </c>
      <c r="AH49" s="63">
        <f>ROUND(IF(AQ49="0",BJ49,0),2)</f>
        <v>0</v>
      </c>
      <c r="AI49" s="60" t="s">
        <v>18</v>
      </c>
      <c r="AJ49" s="63">
        <f>IF(AN49=0,I49,0)</f>
        <v>0</v>
      </c>
      <c r="AK49" s="63">
        <f>IF(AN49=12,I49,0)</f>
        <v>0</v>
      </c>
      <c r="AL49" s="63">
        <f>IF(AN49=21,I49,0)</f>
        <v>0</v>
      </c>
      <c r="AN49" s="63">
        <v>21</v>
      </c>
      <c r="AO49" s="63">
        <f>H49*0</f>
        <v>0</v>
      </c>
      <c r="AP49" s="63">
        <f>H49*(1-0)</f>
        <v>0</v>
      </c>
      <c r="AQ49" s="64" t="s">
        <v>137</v>
      </c>
      <c r="AV49" s="63">
        <f>ROUND(AW49+AX49,2)</f>
        <v>0</v>
      </c>
      <c r="AW49" s="63">
        <f>ROUND(G49*AO49,2)</f>
        <v>0</v>
      </c>
      <c r="AX49" s="63">
        <f>ROUND(G49*AP49,2)</f>
        <v>0</v>
      </c>
      <c r="AY49" s="64" t="s">
        <v>195</v>
      </c>
      <c r="AZ49" s="64" t="s">
        <v>188</v>
      </c>
      <c r="BA49" s="60" t="s">
        <v>127</v>
      </c>
      <c r="BC49" s="63">
        <f>AW49+AX49</f>
        <v>0</v>
      </c>
      <c r="BD49" s="63">
        <f>H49/(100-BE49)*100</f>
        <v>0</v>
      </c>
      <c r="BE49" s="63">
        <v>0</v>
      </c>
      <c r="BF49" s="63">
        <f>49</f>
        <v>49</v>
      </c>
      <c r="BH49" s="63">
        <f>G49*AO49</f>
        <v>0</v>
      </c>
      <c r="BI49" s="63">
        <f>G49*AP49</f>
        <v>0</v>
      </c>
      <c r="BJ49" s="63">
        <f>G49*H49</f>
        <v>0</v>
      </c>
      <c r="BK49" s="63"/>
      <c r="BL49" s="63"/>
      <c r="BW49" s="63">
        <v>21</v>
      </c>
      <c r="BX49" s="65" t="s">
        <v>203</v>
      </c>
    </row>
    <row r="50" spans="1:76" x14ac:dyDescent="0.25">
      <c r="A50" s="83" t="s">
        <v>204</v>
      </c>
      <c r="B50" s="84" t="s">
        <v>18</v>
      </c>
      <c r="C50" s="84" t="s">
        <v>205</v>
      </c>
      <c r="D50" s="166" t="s">
        <v>206</v>
      </c>
      <c r="E50" s="167"/>
      <c r="F50" s="84" t="s">
        <v>171</v>
      </c>
      <c r="G50" s="85">
        <v>-65.384</v>
      </c>
      <c r="H50" s="46">
        <v>100</v>
      </c>
      <c r="I50" s="46">
        <f>ROUND(G50*H50,2)</f>
        <v>-6538.4</v>
      </c>
      <c r="J50" s="52"/>
      <c r="K50" s="66"/>
      <c r="Z50" s="63">
        <f>ROUND(IF(AQ50="5",BJ50,0),2)</f>
        <v>-6538.4</v>
      </c>
      <c r="AB50" s="63">
        <f>ROUND(IF(AQ50="1",BH50,0),2)</f>
        <v>0</v>
      </c>
      <c r="AC50" s="63">
        <f>ROUND(IF(AQ50="1",BI50,0),2)</f>
        <v>0</v>
      </c>
      <c r="AD50" s="63">
        <f>ROUND(IF(AQ50="7",BH50,0),2)</f>
        <v>0</v>
      </c>
      <c r="AE50" s="63">
        <f>ROUND(IF(AQ50="7",BI50,0),2)</f>
        <v>0</v>
      </c>
      <c r="AF50" s="63">
        <f>ROUND(IF(AQ50="2",BH50,0),2)</f>
        <v>0</v>
      </c>
      <c r="AG50" s="63">
        <f>ROUND(IF(AQ50="2",BI50,0),2)</f>
        <v>0</v>
      </c>
      <c r="AH50" s="63">
        <f>ROUND(IF(AQ50="0",BJ50,0),2)</f>
        <v>0</v>
      </c>
      <c r="AI50" s="60" t="s">
        <v>18</v>
      </c>
      <c r="AJ50" s="63">
        <f>IF(AN50=0,I50,0)</f>
        <v>0</v>
      </c>
      <c r="AK50" s="63">
        <f>IF(AN50=12,I50,0)</f>
        <v>0</v>
      </c>
      <c r="AL50" s="63">
        <f>IF(AN50=21,I50,0)</f>
        <v>-6538.4</v>
      </c>
      <c r="AN50" s="63">
        <v>21</v>
      </c>
      <c r="AO50" s="63">
        <f>H50*0</f>
        <v>0</v>
      </c>
      <c r="AP50" s="63">
        <f>H50*(1-0)</f>
        <v>100</v>
      </c>
      <c r="AQ50" s="64" t="s">
        <v>137</v>
      </c>
      <c r="AV50" s="63">
        <f>ROUND(AW50+AX50,2)</f>
        <v>-6538.4</v>
      </c>
      <c r="AW50" s="63">
        <f>ROUND(G50*AO50,2)</f>
        <v>0</v>
      </c>
      <c r="AX50" s="63">
        <f>ROUND(G50*AP50,2)</f>
        <v>-6538.4</v>
      </c>
      <c r="AY50" s="64" t="s">
        <v>195</v>
      </c>
      <c r="AZ50" s="64" t="s">
        <v>188</v>
      </c>
      <c r="BA50" s="60" t="s">
        <v>127</v>
      </c>
      <c r="BC50" s="63">
        <f>AW50+AX50</f>
        <v>-6538.4</v>
      </c>
      <c r="BD50" s="63">
        <f>H50/(100-BE50)*100</f>
        <v>100</v>
      </c>
      <c r="BE50" s="63">
        <v>0</v>
      </c>
      <c r="BF50" s="63">
        <f>50</f>
        <v>50</v>
      </c>
      <c r="BH50" s="63">
        <f>G50*AO50</f>
        <v>0</v>
      </c>
      <c r="BI50" s="63">
        <f>G50*AP50</f>
        <v>-6538.4</v>
      </c>
      <c r="BJ50" s="63">
        <f>G50*H50</f>
        <v>-6538.4</v>
      </c>
      <c r="BK50" s="63"/>
      <c r="BL50" s="63"/>
      <c r="BW50" s="63">
        <v>21</v>
      </c>
      <c r="BX50" s="65" t="s">
        <v>206</v>
      </c>
    </row>
    <row r="51" spans="1:76" x14ac:dyDescent="0.25">
      <c r="I51" s="47">
        <f>ROUND(I12+I18+I27+I29+I34+I37+I39+I43,2)</f>
        <v>-6538.4</v>
      </c>
    </row>
    <row r="52" spans="1:76" x14ac:dyDescent="0.25">
      <c r="A52" s="86" t="s">
        <v>83</v>
      </c>
    </row>
  </sheetData>
  <sheetProtection algorithmName="SHA-512" hashValue="obiISpwXKESvVn5BOC8DmHgZYKv6KRtHQ1GrI7u6XjsPGOfx3/NJI34rlV+MaAVqcaNd+OnNsucERTUu5W4N5Q==" saltValue="bxLnWDOAhXRcpQGM8/Dkgg==" spinCount="100000" sheet="1" objects="1" scenarios="1"/>
  <mergeCells count="51">
    <mergeCell ref="A1:G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10:E10"/>
    <mergeCell ref="D8:E9"/>
    <mergeCell ref="H2:H3"/>
    <mergeCell ref="H4:H5"/>
    <mergeCell ref="H6:H7"/>
    <mergeCell ref="H8:H9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3:E23"/>
    <mergeCell ref="D25:E25"/>
    <mergeCell ref="D27:E27"/>
    <mergeCell ref="D28:E28"/>
    <mergeCell ref="D29:E29"/>
    <mergeCell ref="D30:E30"/>
    <mergeCell ref="D31:E31"/>
    <mergeCell ref="D32:E32"/>
    <mergeCell ref="D34:E34"/>
    <mergeCell ref="D35:E35"/>
    <mergeCell ref="D37:E37"/>
    <mergeCell ref="D44:E44"/>
    <mergeCell ref="D47:E47"/>
    <mergeCell ref="D49:E49"/>
    <mergeCell ref="D50:E50"/>
    <mergeCell ref="D38:E38"/>
    <mergeCell ref="D39:E39"/>
    <mergeCell ref="D40:E40"/>
    <mergeCell ref="D42:E42"/>
    <mergeCell ref="D43:E43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dcterms:created xsi:type="dcterms:W3CDTF">2021-06-10T20:06:38Z</dcterms:created>
  <dcterms:modified xsi:type="dcterms:W3CDTF">2025-04-29T09:47:27Z</dcterms:modified>
</cp:coreProperties>
</file>